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autoCompressPictures="0"/>
  <mc:AlternateContent xmlns:mc="http://schemas.openxmlformats.org/markup-compatibility/2006">
    <mc:Choice Requires="x15">
      <x15ac:absPath xmlns:x15ac="http://schemas.microsoft.com/office/spreadsheetml/2010/11/ac" url="O:\Marketing\Website\_Compliance Documents\Cobalt CRT\"/>
    </mc:Choice>
  </mc:AlternateContent>
  <xr:revisionPtr revIDLastSave="0" documentId="8_{AF51D0C8-73A7-44F8-81D2-29CCE84BBDE3}" xr6:coauthVersionLast="45" xr6:coauthVersionMax="45"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G53" i="6" s="1"/>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B51" i="6"/>
  <c r="G51" i="6" s="1"/>
  <c r="B50" i="6"/>
  <c r="G50" i="6" s="1"/>
  <c r="B49" i="6"/>
  <c r="G49" i="6" s="1"/>
  <c r="B48" i="6"/>
  <c r="G48" i="6" s="1"/>
  <c r="B47" i="6"/>
  <c r="G47" i="6" s="1"/>
  <c r="B46" i="6"/>
  <c r="G46" i="6"/>
  <c r="B45" i="6"/>
  <c r="G45" i="6" s="1"/>
  <c r="B43" i="6"/>
  <c r="G43" i="6" s="1"/>
  <c r="B42" i="6"/>
  <c r="G42" i="6" s="1"/>
  <c r="H42" i="6" s="1"/>
  <c r="D42" i="6" s="1"/>
  <c r="B41" i="6"/>
  <c r="G41" i="6" s="1"/>
  <c r="H41" i="6" s="1"/>
  <c r="D41" i="6" s="1"/>
  <c r="B40" i="6"/>
  <c r="G40" i="6" s="1"/>
  <c r="B38" i="6"/>
  <c r="G38" i="6"/>
  <c r="B37" i="6"/>
  <c r="G37" i="6"/>
  <c r="B36" i="6"/>
  <c r="G36" i="6"/>
  <c r="B35" i="6"/>
  <c r="G35" i="6" s="1"/>
  <c r="B33" i="6"/>
  <c r="G33" i="6" s="1"/>
  <c r="B32" i="6"/>
  <c r="G32" i="6" s="1"/>
  <c r="H32" i="6" s="1"/>
  <c r="D32" i="6" s="1"/>
  <c r="B31" i="6"/>
  <c r="G31" i="6" s="1"/>
  <c r="B30" i="6"/>
  <c r="G30" i="6" s="1"/>
  <c r="B28" i="6"/>
  <c r="G28" i="6"/>
  <c r="B27" i="6"/>
  <c r="G27" i="6"/>
  <c r="B26" i="6"/>
  <c r="G26" i="6"/>
  <c r="B25" i="6"/>
  <c r="G25" i="6" s="1"/>
  <c r="B23" i="6"/>
  <c r="G23" i="6" s="1"/>
  <c r="B18" i="6"/>
  <c r="F23" i="6" s="1"/>
  <c r="B22" i="6"/>
  <c r="G22" i="6"/>
  <c r="B21" i="6"/>
  <c r="G21" i="6"/>
  <c r="B20" i="6"/>
  <c r="G20" i="6" s="1"/>
  <c r="B17" i="6"/>
  <c r="B16" i="6"/>
  <c r="G16" i="6"/>
  <c r="H16" i="6" s="1"/>
  <c r="D16" i="6" s="1"/>
  <c r="B15" i="6"/>
  <c r="F20" i="6" s="1"/>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s="1"/>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s="1"/>
  <c r="D18" i="6" s="1"/>
  <c r="F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F37" i="6"/>
  <c r="H37" i="6" s="1"/>
  <c r="D37" i="6" s="1"/>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F1435" i="5"/>
  <c r="H549" i="5"/>
  <c r="I549" i="5"/>
  <c r="J513" i="5"/>
  <c r="I441" i="5"/>
  <c r="J441" i="5"/>
  <c r="E441" i="5"/>
  <c r="X441" i="5" s="1"/>
  <c r="G441" i="5"/>
  <c r="H361" i="5"/>
  <c r="J361" i="5"/>
  <c r="E361" i="5"/>
  <c r="X361" i="5" s="1"/>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s="1"/>
  <c r="D36" i="6" s="1"/>
  <c r="F26" i="6"/>
  <c r="H26" i="6"/>
  <c r="D26" i="6" s="1"/>
  <c r="F31" i="6"/>
  <c r="H31" i="6" s="1"/>
  <c r="D31" i="6" s="1"/>
  <c r="F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s="1"/>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F43" i="6" l="1"/>
  <c r="H43" i="6" s="1"/>
  <c r="D43" i="6" s="1"/>
  <c r="H23" i="6"/>
  <c r="D23" i="6" s="1"/>
  <c r="F38" i="6"/>
  <c r="H38" i="6" s="1"/>
  <c r="D38" i="6" s="1"/>
  <c r="F33" i="6"/>
  <c r="H33" i="6" s="1"/>
  <c r="D33" i="6" s="1"/>
  <c r="F28" i="6"/>
  <c r="H28" i="6" s="1"/>
  <c r="D28" i="6" s="1"/>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J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R2146" i="5" s="1"/>
  <c r="AB2146" i="5"/>
  <c r="V2138" i="5"/>
  <c r="J2138" i="5" s="1"/>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H1914" i="5" s="1"/>
  <c r="AB1914" i="5"/>
  <c r="V1898" i="5"/>
  <c r="G1898" i="5" s="1"/>
  <c r="AB1898" i="5"/>
  <c r="V1890" i="5"/>
  <c r="G1890" i="5" s="1"/>
  <c r="AB1890" i="5"/>
  <c r="V1882" i="5"/>
  <c r="G1882" i="5" s="1"/>
  <c r="AB1882" i="5"/>
  <c r="V1874" i="5"/>
  <c r="G1874" i="5" s="1"/>
  <c r="AB1874" i="5"/>
  <c r="V1866" i="5"/>
  <c r="G1866" i="5" s="1"/>
  <c r="AB1866" i="5"/>
  <c r="V1858" i="5"/>
  <c r="AB1858" i="5"/>
  <c r="V1850" i="5"/>
  <c r="G1850" i="5" s="1"/>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I1778" i="5" s="1"/>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I1154" i="5" s="1"/>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F2442" i="5" s="1"/>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R1138" i="5"/>
  <c r="E1138" i="5"/>
  <c r="X1138" i="5" s="1"/>
  <c r="I1138" i="5"/>
  <c r="V2493" i="5"/>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AB2389" i="5"/>
  <c r="V2357" i="5"/>
  <c r="AB2357" i="5"/>
  <c r="E2293" i="5"/>
  <c r="X2293" i="5" s="1"/>
  <c r="F2293" i="5"/>
  <c r="I2293" i="5"/>
  <c r="R2285" i="5"/>
  <c r="I2285" i="5"/>
  <c r="V2277" i="5"/>
  <c r="G2277" i="5" s="1"/>
  <c r="V2261" i="5"/>
  <c r="F2261" i="5" s="1"/>
  <c r="AB2261" i="5"/>
  <c r="V2245" i="5"/>
  <c r="V2221" i="5"/>
  <c r="R2221" i="5" s="1"/>
  <c r="AB2221" i="5"/>
  <c r="H2213" i="5"/>
  <c r="I2213" i="5"/>
  <c r="F2213" i="5"/>
  <c r="G2197" i="5"/>
  <c r="I2197" i="5"/>
  <c r="E2181" i="5"/>
  <c r="X2181" i="5" s="1"/>
  <c r="R2181" i="5"/>
  <c r="H2181" i="5"/>
  <c r="V2141" i="5"/>
  <c r="AB2141" i="5"/>
  <c r="V2125" i="5"/>
  <c r="AB2125" i="5"/>
  <c r="V2117" i="5"/>
  <c r="I2117" i="5" s="1"/>
  <c r="AB2117" i="5"/>
  <c r="V2109" i="5"/>
  <c r="J2109" i="5" s="1"/>
  <c r="AB2109" i="5"/>
  <c r="V2101" i="5"/>
  <c r="I2101" i="5" s="1"/>
  <c r="AB2101" i="5"/>
  <c r="V2093" i="5"/>
  <c r="G2093" i="5" s="1"/>
  <c r="AB2093" i="5"/>
  <c r="V2085" i="5"/>
  <c r="F2085" i="5" s="1"/>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J1821" i="5" s="1"/>
  <c r="AB1821" i="5"/>
  <c r="V1813" i="5"/>
  <c r="AB1813" i="5"/>
  <c r="V1805" i="5"/>
  <c r="F1805" i="5" s="1"/>
  <c r="AB1805" i="5"/>
  <c r="V1797" i="5"/>
  <c r="E1797" i="5" s="1"/>
  <c r="X1797" i="5" s="1"/>
  <c r="AB1797" i="5"/>
  <c r="V1789" i="5"/>
  <c r="R1789" i="5" s="1"/>
  <c r="AB1789" i="5"/>
  <c r="V1765" i="5"/>
  <c r="AB1765" i="5"/>
  <c r="V1749" i="5"/>
  <c r="G1749" i="5" s="1"/>
  <c r="AB1749" i="5"/>
  <c r="V1725" i="5"/>
  <c r="H1725" i="5" s="1"/>
  <c r="AB1725" i="5"/>
  <c r="V1717" i="5"/>
  <c r="E1717" i="5" s="1"/>
  <c r="X1717" i="5" s="1"/>
  <c r="AB1717" i="5"/>
  <c r="V1709" i="5"/>
  <c r="AB1709" i="5"/>
  <c r="AB1701" i="5"/>
  <c r="V1701" i="5"/>
  <c r="V1693" i="5"/>
  <c r="AB1693" i="5"/>
  <c r="AB1685" i="5"/>
  <c r="V1685" i="5"/>
  <c r="V1669" i="5"/>
  <c r="AB1669" i="5"/>
  <c r="AB1653" i="5"/>
  <c r="V1653" i="5"/>
  <c r="J1653" i="5" s="1"/>
  <c r="AB1637" i="5"/>
  <c r="V1637" i="5"/>
  <c r="I1637" i="5" s="1"/>
  <c r="V1421" i="5"/>
  <c r="R1421" i="5" s="1"/>
  <c r="AB1421" i="5"/>
  <c r="V1413" i="5"/>
  <c r="AB1413" i="5"/>
  <c r="V1405" i="5"/>
  <c r="J1405" i="5" s="1"/>
  <c r="AB1405" i="5"/>
  <c r="V1397" i="5"/>
  <c r="E1397" i="5" s="1"/>
  <c r="X1397" i="5" s="1"/>
  <c r="AB1397" i="5"/>
  <c r="V1389" i="5"/>
  <c r="G1389" i="5" s="1"/>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AB1333" i="5"/>
  <c r="V1317" i="5"/>
  <c r="H1317" i="5" s="1"/>
  <c r="AB1317" i="5"/>
  <c r="V1293" i="5"/>
  <c r="F1293" i="5" s="1"/>
  <c r="AB1293" i="5"/>
  <c r="V1277" i="5"/>
  <c r="F1277" i="5" s="1"/>
  <c r="AB1277" i="5"/>
  <c r="V1253" i="5"/>
  <c r="AB1253" i="5"/>
  <c r="V1213" i="5"/>
  <c r="R1213" i="5" s="1"/>
  <c r="AB1213" i="5"/>
  <c r="V1197" i="5"/>
  <c r="AB1197" i="5"/>
  <c r="V1173" i="5"/>
  <c r="G1173" i="5" s="1"/>
  <c r="V1085" i="5"/>
  <c r="F1085" i="5" s="1"/>
  <c r="AB1085" i="5"/>
  <c r="V925" i="5"/>
  <c r="AB925" i="5"/>
  <c r="AB909" i="5"/>
  <c r="V909" i="5"/>
  <c r="V901" i="5"/>
  <c r="AB901" i="5"/>
  <c r="V861" i="5"/>
  <c r="AB861" i="5"/>
  <c r="AB845" i="5"/>
  <c r="V845" i="5"/>
  <c r="H845" i="5" s="1"/>
  <c r="AB837" i="5"/>
  <c r="V837" i="5"/>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AB1165" i="5"/>
  <c r="V1149" i="5"/>
  <c r="AB1149" i="5"/>
  <c r="V1141" i="5"/>
  <c r="H1141" i="5" s="1"/>
  <c r="AB1141" i="5"/>
  <c r="J1133" i="5"/>
  <c r="F1133" i="5"/>
  <c r="V1125" i="5"/>
  <c r="AB1125" i="5"/>
  <c r="V1109" i="5"/>
  <c r="G1109" i="5" s="1"/>
  <c r="AB1109" i="5"/>
  <c r="V1093" i="5"/>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AB757" i="5"/>
  <c r="V749" i="5"/>
  <c r="R749" i="5" s="1"/>
  <c r="AB749" i="5"/>
  <c r="V741" i="5"/>
  <c r="AB741" i="5"/>
  <c r="V733" i="5"/>
  <c r="AB733" i="5"/>
  <c r="V725" i="5"/>
  <c r="H725" i="5" s="1"/>
  <c r="AB725" i="5"/>
  <c r="V717" i="5"/>
  <c r="G717" i="5" s="1"/>
  <c r="AB717" i="5"/>
  <c r="V709" i="5"/>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G2070" i="5"/>
  <c r="J2014" i="5"/>
  <c r="H2006" i="5"/>
  <c r="J1958" i="5"/>
  <c r="H1950" i="5"/>
  <c r="I1686" i="5"/>
  <c r="G1678" i="5"/>
  <c r="H1478" i="5"/>
  <c r="AB1398" i="5"/>
  <c r="F1225" i="5"/>
  <c r="I1230" i="5"/>
  <c r="I1198" i="5"/>
  <c r="E1494" i="5"/>
  <c r="X1494" i="5" s="1"/>
  <c r="I1462" i="5"/>
  <c r="E1401" i="5"/>
  <c r="X1401" i="5" s="1"/>
  <c r="I1396" i="5"/>
  <c r="J1376" i="5"/>
  <c r="AB1358" i="5"/>
  <c r="F1230" i="5"/>
  <c r="F2110" i="5"/>
  <c r="R2078" i="5"/>
  <c r="AB1494" i="5"/>
  <c r="G1398" i="5"/>
  <c r="I1348" i="5"/>
  <c r="AB1118" i="5"/>
  <c r="AB894" i="5"/>
  <c r="AB54" i="5"/>
  <c r="H539" i="5"/>
  <c r="F539" i="5"/>
  <c r="G2138"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G2469" i="5"/>
  <c r="R2429" i="5"/>
  <c r="F2429" i="5"/>
  <c r="H2429" i="5"/>
  <c r="G2429" i="5"/>
  <c r="J2429" i="5"/>
  <c r="I2397" i="5"/>
  <c r="E2397" i="5"/>
  <c r="X2397" i="5" s="1"/>
  <c r="J2397" i="5"/>
  <c r="F2397" i="5"/>
  <c r="F2269" i="5"/>
  <c r="R2269" i="5"/>
  <c r="H2253" i="5"/>
  <c r="R2253" i="5"/>
  <c r="J2253" i="5"/>
  <c r="F2253"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G2117" i="5"/>
  <c r="E2117" i="5"/>
  <c r="X2117" i="5" s="1"/>
  <c r="E2109" i="5"/>
  <c r="X2109" i="5" s="1"/>
  <c r="J2101" i="5"/>
  <c r="G2101" i="5"/>
  <c r="I2093" i="5"/>
  <c r="J2093" i="5"/>
  <c r="F2093" i="5"/>
  <c r="E2093" i="5"/>
  <c r="X2093" i="5" s="1"/>
  <c r="I1997" i="5"/>
  <c r="R1901" i="5"/>
  <c r="G1861" i="5"/>
  <c r="J1861" i="5"/>
  <c r="I1837" i="5"/>
  <c r="E1837" i="5"/>
  <c r="X1837" i="5" s="1"/>
  <c r="J1837" i="5"/>
  <c r="E1829" i="5"/>
  <c r="X1829" i="5" s="1"/>
  <c r="J1829" i="5"/>
  <c r="H1821" i="5"/>
  <c r="E1821" i="5"/>
  <c r="X1821" i="5" s="1"/>
  <c r="J1789" i="5"/>
  <c r="R1749" i="5"/>
  <c r="J1749" i="5"/>
  <c r="J1717" i="5"/>
  <c r="E1709" i="5"/>
  <c r="X1709" i="5" s="1"/>
  <c r="J1709" i="5"/>
  <c r="G1421" i="5"/>
  <c r="R1413" i="5"/>
  <c r="H1413" i="5"/>
  <c r="J1413" i="5"/>
  <c r="G1413" i="5"/>
  <c r="E1413" i="5"/>
  <c r="X1413" i="5" s="1"/>
  <c r="F1405" i="5"/>
  <c r="G1405" i="5"/>
  <c r="H1405" i="5"/>
  <c r="E1389" i="5"/>
  <c r="X1389" i="5" s="1"/>
  <c r="R1381" i="5"/>
  <c r="H1381" i="5"/>
  <c r="J1381" i="5"/>
  <c r="G1381" i="5"/>
  <c r="E1381" i="5"/>
  <c r="X1381" i="5" s="1"/>
  <c r="R1373" i="5"/>
  <c r="G1373" i="5"/>
  <c r="H1373" i="5"/>
  <c r="G1341" i="5"/>
  <c r="F1325" i="5"/>
  <c r="G1325" i="5"/>
  <c r="R1325" i="5"/>
  <c r="G1309" i="5"/>
  <c r="G1285" i="5"/>
  <c r="F1261" i="5"/>
  <c r="R1253" i="5"/>
  <c r="E1189" i="5"/>
  <c r="X1189" i="5" s="1"/>
  <c r="R1189" i="5"/>
  <c r="G1189" i="5"/>
  <c r="F1189" i="5"/>
  <c r="J1157" i="5"/>
  <c r="F1157" i="5"/>
  <c r="R1157" i="5"/>
  <c r="H1157" i="5"/>
  <c r="G1157" i="5"/>
  <c r="H1133" i="5"/>
  <c r="G1133" i="5"/>
  <c r="R1133" i="5"/>
  <c r="H1117" i="5"/>
  <c r="R1117" i="5"/>
  <c r="F1101" i="5"/>
  <c r="R1101" i="5"/>
  <c r="H1101" i="5"/>
  <c r="G1101" i="5"/>
  <c r="J1101" i="5"/>
  <c r="H1085" i="5"/>
  <c r="J1085" i="5"/>
  <c r="G725" i="5"/>
  <c r="G669" i="5"/>
  <c r="E669" i="5"/>
  <c r="X669" i="5" s="1"/>
  <c r="R621" i="5"/>
  <c r="G621" i="5"/>
  <c r="G613" i="5"/>
  <c r="E613" i="5"/>
  <c r="X613" i="5" s="1"/>
  <c r="I613" i="5"/>
  <c r="E597" i="5"/>
  <c r="X597" i="5" s="1"/>
  <c r="I565" i="5"/>
  <c r="G565" i="5"/>
  <c r="R929" i="5"/>
  <c r="G1425" i="5"/>
  <c r="I1457" i="5"/>
  <c r="H1489" i="5"/>
  <c r="S890"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I1853" i="5"/>
  <c r="I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R2093" i="5"/>
  <c r="H2093" i="5"/>
  <c r="V2021" i="5"/>
  <c r="G2021" i="5" s="1"/>
  <c r="V2005" i="5"/>
  <c r="G2005" i="5" s="1"/>
  <c r="V1981" i="5"/>
  <c r="G1981" i="5" s="1"/>
  <c r="V1965" i="5"/>
  <c r="G1965" i="5" s="1"/>
  <c r="V1941" i="5"/>
  <c r="G1941" i="5" s="1"/>
  <c r="V1925" i="5"/>
  <c r="G1925" i="5" s="1"/>
  <c r="V1909" i="5"/>
  <c r="G1909" i="5" s="1"/>
  <c r="H1829" i="5"/>
  <c r="R1829" i="5"/>
  <c r="I1821" i="5"/>
  <c r="G1813" i="5"/>
  <c r="I1805" i="5"/>
  <c r="H1789" i="5"/>
  <c r="V1781" i="5"/>
  <c r="G1781" i="5" s="1"/>
  <c r="V1773" i="5"/>
  <c r="G1773" i="5" s="1"/>
  <c r="V1757" i="5"/>
  <c r="G1757" i="5" s="1"/>
  <c r="V1741" i="5"/>
  <c r="G1741" i="5" s="1"/>
  <c r="V1733" i="5"/>
  <c r="G1733" i="5" s="1"/>
  <c r="G1709" i="5"/>
  <c r="H1709" i="5"/>
  <c r="R1709" i="5"/>
  <c r="I1421" i="5"/>
  <c r="I1381" i="5"/>
  <c r="F1381" i="5"/>
  <c r="V1357" i="5"/>
  <c r="G1357" i="5" s="1"/>
  <c r="H1333" i="5"/>
  <c r="I1333" i="5"/>
  <c r="H1325" i="5"/>
  <c r="I1325" i="5"/>
  <c r="J1317" i="5"/>
  <c r="H1261" i="5"/>
  <c r="E1261" i="5"/>
  <c r="X1261" i="5" s="1"/>
  <c r="I1261" i="5"/>
  <c r="E1253" i="5"/>
  <c r="X1253" i="5" s="1"/>
  <c r="H1253" i="5"/>
  <c r="J1189" i="5"/>
  <c r="H1189" i="5"/>
  <c r="I1189" i="5"/>
  <c r="E1109" i="5"/>
  <c r="X1109" i="5" s="1"/>
  <c r="I1109" i="5"/>
  <c r="E1101" i="5"/>
  <c r="X1101" i="5" s="1"/>
  <c r="I1101" i="5"/>
  <c r="G933" i="5"/>
  <c r="AB853" i="5"/>
  <c r="V853" i="5"/>
  <c r="AB789" i="5"/>
  <c r="V789" i="5"/>
  <c r="V765" i="5"/>
  <c r="AB765" i="5"/>
  <c r="V653" i="5"/>
  <c r="AB653" i="5"/>
  <c r="V637" i="5"/>
  <c r="AB637" i="5"/>
  <c r="AB629" i="5"/>
  <c r="V629" i="5"/>
  <c r="I621" i="5"/>
  <c r="E621" i="5"/>
  <c r="X621" i="5" s="1"/>
  <c r="F613" i="5"/>
  <c r="H613" i="5"/>
  <c r="R613" i="5"/>
  <c r="J597" i="5"/>
  <c r="R597" i="5"/>
  <c r="I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042" i="5"/>
  <c r="J1828" i="5"/>
  <c r="S1834" i="5"/>
  <c r="S1818" i="5"/>
  <c r="R1839" i="5"/>
  <c r="T930" i="5"/>
  <c r="S1790" i="5"/>
  <c r="I1739" i="5"/>
  <c r="AB998" i="5"/>
  <c r="I104" i="5"/>
  <c r="AB1796"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J751" i="5"/>
  <c r="F751" i="5"/>
  <c r="T757" i="5"/>
  <c r="S757" i="5"/>
  <c r="H1136" i="5"/>
  <c r="J1136" i="5"/>
  <c r="S2405" i="5"/>
  <c r="J2105" i="5"/>
  <c r="E2105" i="5"/>
  <c r="X2105" i="5" s="1"/>
  <c r="I2171" i="5"/>
  <c r="S2094"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J1944" i="5"/>
  <c r="AB1955" i="5"/>
  <c r="T941" i="5"/>
  <c r="S260" i="5"/>
  <c r="AB974" i="5"/>
  <c r="H2105" i="5"/>
  <c r="H2076" i="5"/>
  <c r="T1367" i="5"/>
  <c r="S2377" i="5"/>
  <c r="H552" i="5"/>
  <c r="F552" i="5"/>
  <c r="T2082" i="5"/>
  <c r="H1944" i="5"/>
  <c r="F1784" i="5"/>
  <c r="G104" i="5"/>
  <c r="AB78" i="5"/>
  <c r="G1821" i="5"/>
  <c r="AB897" i="5"/>
  <c r="S654" i="5"/>
  <c r="T654" i="5"/>
  <c r="AB654" i="5"/>
  <c r="T659" i="5"/>
  <c r="S659" i="5"/>
  <c r="S692" i="5"/>
  <c r="AB692" i="5"/>
  <c r="T356" i="5"/>
  <c r="AB356" i="5"/>
  <c r="F687" i="5"/>
  <c r="J687" i="5"/>
  <c r="G1335" i="5"/>
  <c r="I1335" i="5"/>
  <c r="S1346" i="5"/>
  <c r="T1346" i="5"/>
  <c r="AB1557" i="5"/>
  <c r="T2033" i="5"/>
  <c r="S2033"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I2493" i="5"/>
  <c r="J2493" i="5"/>
  <c r="E2421" i="5"/>
  <c r="X2421" i="5" s="1"/>
  <c r="J2421" i="5"/>
  <c r="J2413" i="5"/>
  <c r="R2413" i="5"/>
  <c r="F2413" i="5"/>
  <c r="G2389" i="5"/>
  <c r="I2389" i="5"/>
  <c r="I2269" i="5"/>
  <c r="G2269" i="5"/>
  <c r="E2269" i="5"/>
  <c r="X2269" i="5" s="1"/>
  <c r="H2269" i="5"/>
  <c r="J2269" i="5"/>
  <c r="R2173" i="5"/>
  <c r="E2173" i="5"/>
  <c r="X2173" i="5" s="1"/>
  <c r="F2173" i="5"/>
  <c r="G2173" i="5"/>
  <c r="H2173" i="5"/>
  <c r="R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G1530"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G55" i="4"/>
  <c r="G37"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13" i="6" l="1"/>
  <c r="C8" i="6"/>
  <c r="B5" i="5"/>
  <c r="C5" i="5"/>
  <c r="C11" i="6"/>
  <c r="C9" i="6"/>
  <c r="C10" i="6"/>
  <c r="C7" i="6"/>
  <c r="C4" i="6"/>
  <c r="G2442" i="5"/>
  <c r="E2442" i="5"/>
  <c r="X2442" i="5" s="1"/>
  <c r="G214" i="5"/>
  <c r="H214" i="5"/>
  <c r="F766" i="5"/>
  <c r="R766" i="5"/>
  <c r="F1254" i="5"/>
  <c r="I1254" i="5"/>
  <c r="R709" i="5"/>
  <c r="I709" i="5"/>
  <c r="R741" i="5"/>
  <c r="E741" i="5"/>
  <c r="X741" i="5" s="1"/>
  <c r="E757" i="5"/>
  <c r="X757" i="5" s="1"/>
  <c r="I757" i="5"/>
  <c r="E1093" i="5"/>
  <c r="X1093" i="5" s="1"/>
  <c r="I1093" i="5"/>
  <c r="E1125" i="5"/>
  <c r="X1125" i="5" s="1"/>
  <c r="I1125" i="5"/>
  <c r="H1165" i="5"/>
  <c r="F1165" i="5"/>
  <c r="I837" i="5"/>
  <c r="G837" i="5"/>
  <c r="G1253" i="5"/>
  <c r="F1253" i="5"/>
  <c r="J1253" i="5"/>
  <c r="I1253" i="5"/>
  <c r="R1333" i="5"/>
  <c r="G1333" i="5"/>
  <c r="E1333" i="5"/>
  <c r="X1333" i="5" s="1"/>
  <c r="F1333" i="5"/>
  <c r="G1778" i="5"/>
  <c r="G2245" i="5"/>
  <c r="H2245" i="5"/>
  <c r="J2245" i="5"/>
  <c r="J2389" i="5"/>
  <c r="H2389" i="5"/>
  <c r="R2389" i="5"/>
  <c r="H2421" i="5"/>
  <c r="I2421" i="5"/>
  <c r="I2469" i="5"/>
  <c r="H2469" i="5"/>
  <c r="R2469" i="5"/>
  <c r="J2469" i="5"/>
  <c r="G2493" i="5"/>
  <c r="F2493" i="5"/>
  <c r="H2493" i="5"/>
  <c r="J1778" i="5"/>
  <c r="F1778" i="5"/>
  <c r="E1778" i="5"/>
  <c r="X1778" i="5" s="1"/>
  <c r="H2418" i="5"/>
  <c r="J2418" i="5"/>
  <c r="H2146" i="5"/>
  <c r="G2146" i="5"/>
  <c r="F2146" i="5"/>
  <c r="I2418" i="5"/>
  <c r="E15" i="5"/>
  <c r="X15" i="5" s="1"/>
  <c r="H2085" i="5"/>
  <c r="H1749" i="5"/>
  <c r="F1421" i="5"/>
  <c r="R1805" i="5"/>
  <c r="R1821" i="5"/>
  <c r="J1853" i="5"/>
  <c r="R1085" i="5"/>
  <c r="R1389" i="5"/>
  <c r="E1405" i="5"/>
  <c r="X1405" i="5" s="1"/>
  <c r="E1421" i="5"/>
  <c r="X1421" i="5" s="1"/>
  <c r="E1749" i="5"/>
  <c r="X1749" i="5" s="1"/>
  <c r="E1789" i="5"/>
  <c r="X1789" i="5" s="1"/>
  <c r="E2101" i="5"/>
  <c r="X2101" i="5" s="1"/>
  <c r="R15" i="5"/>
  <c r="I15" i="5"/>
  <c r="E2413" i="5"/>
  <c r="X2413" i="5" s="1"/>
  <c r="R2461" i="5"/>
  <c r="F134" i="5"/>
  <c r="H1805" i="5"/>
  <c r="H597" i="5"/>
  <c r="F597" i="5"/>
  <c r="H1181" i="5"/>
  <c r="J1237" i="5"/>
  <c r="J1261" i="5"/>
  <c r="E1277" i="5"/>
  <c r="X1277" i="5" s="1"/>
  <c r="F1821" i="5"/>
  <c r="H2101" i="5"/>
  <c r="G1213" i="5"/>
  <c r="H1378" i="5"/>
  <c r="H717" i="5"/>
  <c r="G1085" i="5"/>
  <c r="F2101" i="5"/>
  <c r="J2261" i="5"/>
  <c r="F15" i="5"/>
  <c r="I12" i="5"/>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J5" i="5" l="1"/>
  <c r="H5" i="5"/>
  <c r="I5" i="5"/>
  <c r="E5" i="5"/>
  <c r="G5" i="5"/>
  <c r="R5" i="5"/>
  <c r="H62" i="6"/>
  <c r="D2" i="6" s="1"/>
  <c r="D57" i="6"/>
  <c r="S5" i="5"/>
  <c r="T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<sst xmlns="http://schemas.openxmlformats.org/spreadsheetml/2006/main" count="17131" uniqueCount="14069">
  <si>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</si>
  <si>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</si>
  <si>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</si>
  <si>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</si>
  <si>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</si>
  <si>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</si>
  <si>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</si>
  <si>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</si>
  <si>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</si>
  <si>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</si>
  <si>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</si>
  <si>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</si>
  <si>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</si>
  <si>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</si>
  <si>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</si>
  <si>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</si>
  <si>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</si>
  <si>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</si>
  <si>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</si>
  <si>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</si>
  <si>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</si>
  <si>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</si>
  <si>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</si>
  <si>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</si>
  <si>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</si>
  <si>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</si>
  <si>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</si>
  <si>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</si>
  <si>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</si>
  <si>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</si>
  <si>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</si>
  <si>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</si>
  <si>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</si>
  <si>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</si>
  <si>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</si>
  <si>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</si>
  <si>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</si>
  <si>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</si>
  <si>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</si>
  <si>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</si>
  <si>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</si>
  <si>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</si>
  <si>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</si>
  <si>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</si>
  <si>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</si>
  <si>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</si>
  <si>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</si>
  <si>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</si>
  <si>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</si>
  <si>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</si>
  <si>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</si>
  <si>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</si>
  <si>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</si>
  <si>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</si>
  <si>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</si>
  <si>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</si>
  <si>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</si>
  <si>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</si>
  <si>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</si>
  <si>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</si>
  <si>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</si>
  <si>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</si>
  <si>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</si>
  <si>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</si>
  <si>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</si>
  <si>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</si>
  <si>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</si>
  <si>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</si>
  <si>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</si>
  <si>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</si>
  <si>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</si>
  <si>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</si>
  <si>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</si>
  <si>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</si>
  <si>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</si>
  <si>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</si>
  <si>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</si>
  <si>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</si>
  <si>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</si>
  <si>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</si>
  <si>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</si>
  <si>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</si>
  <si>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</si>
  <si>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</si>
  <si>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</si>
  <si>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</si>
  <si>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</si>
  <si>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</si>
  <si>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</si>
  <si>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</si>
  <si>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</si>
  <si>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</si>
  <si>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</si>
  <si>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</si>
  <si>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</si>
  <si>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</si>
  <si>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</si>
  <si>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</si>
  <si>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</si>
  <si>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</si>
  <si>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</si>
  <si>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</si>
  <si>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</si>
  <si>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</si>
  <si>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</si>
  <si>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</si>
  <si>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</si>
  <si>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</si>
  <si>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</si>
  <si>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</si>
  <si>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</si>
  <si>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</si>
  <si>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</si>
  <si>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</si>
  <si>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</si>
  <si>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</si>
  <si>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</si>
  <si>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</si>
  <si>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</si>
  <si>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</si>
  <si>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</si>
  <si>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</si>
  <si>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</si>
  <si>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</si>
  <si>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</si>
  <si>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</si>
  <si>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</si>
  <si>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</si>
  <si>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</si>
  <si>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</si>
  <si>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</si>
  <si>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</si>
  <si>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</si>
  <si>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</si>
  <si>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</si>
  <si>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</si>
  <si>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</si>
  <si>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</si>
  <si>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</si>
  <si>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</si>
  <si>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</si>
  <si>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</si>
  <si>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</si>
  <si>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</si>
  <si>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</si>
  <si>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</si>
  <si>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</si>
  <si>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</si>
  <si>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</si>
  <si>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</si>
  <si>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</si>
  <si>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</si>
  <si>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</si>
  <si>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</si>
  <si>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</si>
  <si>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</si>
  <si>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</si>
  <si>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</si>
  <si>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</si>
  <si>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</si>
  <si>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</si>
  <si>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</si>
  <si>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</si>
  <si>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</si>
  <si>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</si>
  <si>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</si>
  <si>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</si>
  <si>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</si>
  <si>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</si>
  <si>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</si>
  <si>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</si>
  <si>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</si>
  <si>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</si>
  <si>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</si>
  <si>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</si>
  <si>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</si>
  <si>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</si>
  <si>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</si>
  <si>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</si>
  <si>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</si>
  <si>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</si>
  <si>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</si>
  <si>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</si>
  <si>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</si>
  <si>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</si>
  <si>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</si>
  <si>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</si>
  <si>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</si>
  <si>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</si>
  <si>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</si>
  <si>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</si>
  <si>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</si>
  <si>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</si>
  <si>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</si>
  <si>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</si>
  <si>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</si>
  <si>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</si>
  <si>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</si>
  <si>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</si>
  <si>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</si>
  <si>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</si>
  <si>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</si>
  <si>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</si>
  <si>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</si>
  <si>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</si>
  <si>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</si>
  <si>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</si>
  <si>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</si>
  <si>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</si>
  <si>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</si>
  <si>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</si>
  <si>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</si>
  <si>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</si>
  <si>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</si>
  <si>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</si>
  <si>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</si>
  <si>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</si>
  <si>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</si>
  <si>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</si>
  <si>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</si>
  <si>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</si>
  <si>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</si>
  <si>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</si>
  <si>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</si>
  <si>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</si>
  <si>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</si>
  <si>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</si>
  <si>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</si>
  <si>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</si>
  <si>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</si>
  <si>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</si>
  <si>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</si>
  <si>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</si>
  <si>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</si>
  <si>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</si>
  <si>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</si>
  <si>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</si>
  <si>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</si>
  <si>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</si>
  <si>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</si>
  <si>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</si>
  <si>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</si>
  <si>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</si>
  <si>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</si>
  <si>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</si>
  <si>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</si>
  <si>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</si>
  <si>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</si>
  <si>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</si>
  <si>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</si>
  <si>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</si>
  <si>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</si>
  <si>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</si>
  <si>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</si>
  <si>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</si>
  <si>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</si>
  <si>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</si>
  <si>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</si>
  <si>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</si>
  <si>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</si>
  <si>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</si>
  <si>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</si>
  <si>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</si>
  <si>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</si>
  <si>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</si>
  <si>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</si>
  <si>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</si>
  <si>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</si>
  <si>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</si>
  <si>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</si>
  <si>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</si>
  <si>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</si>
  <si>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</si>
  <si>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</si>
  <si>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</si>
  <si>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</si>
  <si>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</si>
  <si>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</si>
  <si>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</si>
  <si>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</si>
  <si>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</si>
  <si>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</si>
  <si>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</si>
  <si>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</si>
  <si>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</si>
  <si>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</si>
  <si>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</si>
  <si>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</si>
  <si>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</si>
  <si>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</si>
  <si>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</si>
  <si>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</si>
  <si>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</si>
  <si>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</si>
  <si>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</si>
  <si>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</si>
  <si>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</si>
  <si>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</si>
  <si>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</si>
  <si>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</si>
  <si>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</si>
  <si>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</si>
  <si>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</si>
  <si>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</si>
  <si>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</si>
  <si>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</si>
  <si>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</si>
  <si>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</si>
  <si>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</si>
  <si>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</si>
  <si>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</si>
  <si>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</si>
  <si>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</si>
  <si>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</si>
  <si>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</si>
  <si>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</si>
  <si>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</si>
  <si>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</si>
  <si>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</si>
  <si>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</si>
  <si>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</si>
  <si>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</si>
  <si>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</si>
  <si>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</si>
  <si>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</si>
  <si>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</si>
  <si>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</si>
  <si>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</si>
  <si>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</si>
  <si>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</si>
  <si>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</si>
  <si>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</si>
  <si>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</si>
  <si>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</si>
  <si>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</si>
  <si>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</si>
  <si>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</si>
  <si>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</si>
  <si>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</si>
  <si>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</si>
  <si>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</si>
  <si>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</si>
  <si>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</si>
  <si>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</si>
  <si>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</si>
  <si>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</si>
  <si>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</si>
  <si>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</si>
  <si>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</si>
  <si>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</si>
  <si>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</si>
  <si>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</si>
  <si>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</si>
  <si>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</si>
  <si>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</si>
  <si>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</si>
  <si>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</si>
  <si>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</si>
  <si>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</si>
  <si>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</si>
  <si>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</si>
  <si>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</si>
  <si>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</si>
  <si>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</si>
  <si>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</si>
  <si>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</si>
  <si>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</si>
  <si>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</si>
  <si>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</si>
  <si>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</si>
  <si>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</si>
  <si>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</si>
  <si>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</si>
  <si>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</si>
  <si>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</si>
  <si>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</si>
  <si>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</si>
  <si>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</si>
  <si>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</si>
  <si>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</si>
  <si>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</si>
  <si>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</si>
  <si>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</si>
  <si>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</si>
  <si>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</si>
  <si>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</si>
  <si>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</si>
  <si>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</si>
  <si>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</si>
  <si>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</si>
  <si>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</si>
  <si>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</si>
  <si>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</si>
  <si>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</si>
  <si>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</si>
  <si>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</si>
  <si>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</si>
  <si>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</si>
  <si>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</si>
  <si>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</si>
  <si>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</si>
  <si>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</si>
  <si>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</si>
  <si>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</si>
  <si>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</si>
  <si>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</si>
  <si>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</si>
  <si>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</si>
  <si>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</si>
  <si>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</si>
  <si>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</si>
  <si>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</si>
  <si>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</si>
  <si>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</si>
  <si>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</si>
  <si>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</si>
  <si>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</si>
  <si>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</si>
  <si>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</si>
  <si>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</si>
  <si>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</si>
  <si>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</si>
  <si>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</si>
  <si>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</si>
  <si>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</si>
  <si>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</si>
  <si>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</si>
  <si>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</si>
  <si>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</si>
  <si>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</si>
  <si>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</si>
  <si>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</si>
  <si>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</si>
  <si>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</si>
  <si>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</si>
  <si>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</si>
  <si>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</si>
  <si>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</si>
  <si>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</si>
  <si>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</si>
  <si>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</si>
  <si>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</si>
  <si>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</si>
  <si>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</si>
  <si>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</si>
  <si>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</si>
  <si>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</si>
  <si>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</si>
  <si>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</si>
  <si>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</si>
  <si>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</si>
  <si>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</si>
  <si>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</si>
  <si>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</si>
  <si>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</si>
  <si>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</si>
  <si>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</si>
  <si>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</si>
  <si>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</si>
  <si>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</si>
  <si>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</si>
  <si>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</si>
  <si>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</si>
  <si>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</si>
  <si>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</si>
  <si>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</si>
  <si>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</si>
  <si>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</si>
  <si>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</si>
  <si>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</si>
  <si>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</si>
  <si>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</si>
  <si>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</si>
  <si>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</si>
  <si>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</si>
  <si>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</si>
  <si>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</si>
  <si>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</si>
  <si>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</si>
  <si>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</si>
  <si>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</si>
  <si>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</si>
  <si>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</si>
  <si>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</si>
  <si>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</si>
  <si>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</si>
  <si>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</si>
  <si>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</si>
  <si>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</si>
  <si>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</si>
  <si>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</si>
  <si>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</si>
  <si>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</si>
  <si>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</si>
  <si>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</si>
  <si>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</si>
  <si>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</si>
  <si>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</si>
  <si>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</si>
  <si>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</si>
  <si>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</si>
  <si>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</si>
  <si>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</si>
  <si>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</si>
  <si>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</si>
  <si>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</si>
  <si>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</si>
  <si>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</si>
  <si>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</si>
  <si>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</si>
  <si>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</si>
  <si>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</si>
  <si>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</si>
  <si>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</si>
  <si>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</si>
  <si>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</si>
  <si>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</si>
  <si>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</si>
  <si>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</si>
  <si>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</si>
  <si>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</si>
  <si>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</si>
  <si>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</si>
  <si>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</si>
  <si>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</si>
  <si>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</si>
  <si>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</si>
  <si>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</si>
  <si>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</si>
  <si>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</si>
  <si>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</si>
  <si>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</si>
  <si>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</si>
  <si>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</si>
  <si>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</si>
  <si>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</si>
  <si>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</si>
  <si>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</si>
  <si>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</si>
  <si>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</si>
  <si>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</si>
  <si>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</si>
  <si>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</si>
  <si>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</si>
  <si>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</si>
  <si>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</si>
  <si>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</si>
  <si>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</si>
  <si>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</si>
  <si>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</si>
  <si>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</si>
  <si>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</si>
  <si>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</si>
  <si>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</si>
  <si>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</si>
  <si>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</si>
  <si>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</si>
  <si>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</si>
  <si>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</si>
  <si>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</si>
  <si>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</si>
  <si>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</si>
  <si>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</si>
  <si>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</si>
  <si>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</si>
  <si>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</si>
  <si>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</si>
  <si>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</si>
  <si>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</si>
  <si>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</si>
  <si>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</si>
  <si>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</si>
  <si>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</si>
  <si>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</si>
  <si>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</si>
  <si>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</si>
  <si>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</si>
  <si>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</si>
  <si>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</si>
  <si>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</si>
  <si>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</si>
  <si>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</si>
  <si>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</si>
  <si>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</si>
  <si>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</si>
  <si>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</si>
  <si>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</si>
  <si>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</si>
  <si>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</si>
  <si>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</si>
  <si>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</si>
  <si>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</si>
  <si>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</si>
  <si>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</si>
  <si>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</si>
  <si>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</si>
  <si>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</si>
  <si>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</si>
  <si>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</si>
  <si>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</si>
  <si>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</si>
  <si>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</si>
  <si>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</si>
  <si>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</si>
  <si>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</si>
  <si>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</si>
  <si>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</si>
  <si>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</si>
  <si>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</si>
  <si>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</si>
  <si>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</si>
  <si>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</si>
  <si>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</si>
  <si>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</si>
  <si>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</si>
  <si>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</si>
  <si>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</si>
  <si>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</si>
  <si>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</si>
  <si>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</si>
  <si>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</si>
  <si>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</si>
  <si>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</si>
  <si>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</si>
  <si>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</si>
  <si>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</si>
  <si>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</si>
  <si>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</si>
  <si>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</si>
  <si>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</si>
  <si>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</si>
  <si>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</si>
  <si>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</si>
  <si>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</si>
  <si>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</si>
  <si>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</si>
  <si>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</si>
  <si>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</si>
  <si>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</si>
  <si>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</si>
  <si>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</si>
  <si>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</si>
  <si>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</si>
  <si>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</si>
  <si>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</si>
  <si>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</si>
  <si>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</si>
  <si>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</si>
  <si>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</si>
  <si>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</si>
  <si>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</si>
  <si>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</si>
  <si>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</si>
  <si>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</si>
  <si>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</si>
  <si>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</si>
  <si>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</si>
  <si>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</si>
  <si>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</si>
  <si>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</si>
  <si>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</si>
  <si>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</si>
  <si>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</si>
  <si>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</si>
  <si>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</si>
  <si>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</si>
  <si>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</si>
  <si>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</si>
  <si>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</si>
  <si>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</si>
  <si>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</si>
  <si>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</si>
  <si>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</si>
  <si>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</si>
  <si>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</si>
  <si>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</si>
  <si>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</si>
  <si>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</si>
  <si>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</si>
  <si>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</si>
  <si>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</si>
  <si>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</si>
  <si>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</si>
  <si>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</si>
  <si>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</si>
  <si>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</si>
  <si>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</si>
  <si>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</si>
  <si>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</si>
  <si>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</si>
  <si>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</si>
  <si>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</si>
  <si>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</si>
  <si>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</si>
  <si>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</si>
  <si>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</si>
  <si>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</si>
  <si>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</si>
  <si>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</si>
  <si>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</si>
  <si>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</si>
  <si>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</si>
  <si>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</si>
  <si>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</si>
  <si>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</si>
  <si>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</si>
  <si>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</si>
  <si>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</si>
  <si>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</si>
  <si>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</si>
  <si>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</si>
  <si>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</si>
  <si>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</si>
  <si>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</si>
  <si>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</si>
  <si>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</si>
  <si>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</si>
  <si>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</si>
  <si>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</si>
  <si>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</si>
  <si>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</si>
  <si>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</si>
  <si>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</si>
  <si>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</si>
  <si>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</si>
  <si>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</si>
  <si>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</si>
  <si>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</si>
  <si>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</si>
  <si>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</si>
  <si>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</si>
  <si>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</si>
  <si>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</si>
  <si>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</si>
  <si>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</si>
  <si>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</si>
  <si>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</si>
  <si>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</si>
  <si>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</si>
  <si>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</si>
  <si>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</si>
  <si>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</si>
  <si>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</si>
  <si>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</si>
  <si>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</si>
  <si>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</si>
  <si>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</si>
  <si>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</si>
  <si>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</si>
  <si>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</si>
  <si>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</si>
  <si>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</si>
  <si>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</si>
  <si>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</si>
  <si>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</si>
  <si>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</si>
  <si>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</si>
  <si>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</si>
  <si>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</si>
  <si>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</si>
  <si>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</si>
  <si>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</si>
  <si>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</si>
  <si>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</si>
  <si>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</si>
  <si>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</si>
  <si>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</si>
  <si>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</si>
  <si>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</si>
  <si>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</si>
  <si>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</si>
  <si>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</si>
  <si>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</si>
  <si>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</si>
  <si>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</si>
  <si>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</si>
  <si>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</si>
  <si>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</si>
  <si>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</si>
  <si>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</si>
  <si>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</si>
  <si>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</si>
  <si>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</si>
  <si>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</si>
  <si>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</si>
  <si>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</si>
  <si>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</si>
  <si>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</si>
  <si>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</si>
  <si>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</si>
  <si>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</si>
  <si>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</si>
  <si>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</si>
  <si>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</si>
  <si>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</si>
  <si>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</si>
  <si>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</si>
  <si>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</si>
  <si>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</si>
  <si>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</si>
  <si>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</si>
  <si>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</si>
  <si>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</si>
  <si>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</si>
  <si>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</si>
  <si>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</si>
  <si>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</si>
  <si>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</si>
  <si>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</si>
  <si>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</si>
  <si>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</si>
  <si>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</si>
  <si>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</si>
  <si>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</si>
  <si>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</si>
  <si>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</si>
  <si>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</si>
  <si>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</si>
  <si>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</si>
  <si>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</si>
  <si>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</si>
  <si>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</si>
  <si>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</si>
  <si>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</si>
  <si>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</si>
  <si>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</si>
  <si>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</si>
  <si>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</si>
  <si>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</si>
  <si>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</si>
  <si>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</si>
  <si>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</si>
  <si>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</si>
  <si>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</si>
  <si>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</si>
  <si>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</si>
  <si>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</si>
  <si>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</si>
  <si>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</si>
  <si>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</si>
  <si>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</si>
  <si>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</si>
  <si>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</si>
  <si>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</si>
  <si>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</si>
  <si>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</si>
  <si>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</si>
  <si>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</si>
  <si>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</si>
  <si>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</si>
  <si>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</si>
  <si>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</si>
  <si>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</si>
  <si>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</si>
  <si>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</si>
  <si>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</si>
  <si>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</si>
  <si>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</si>
  <si>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</si>
  <si>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</si>
  <si>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</si>
  <si>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</si>
  <si>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</si>
  <si>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</si>
  <si>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</si>
  <si>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</si>
  <si>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</si>
  <si>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</si>
  <si>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</si>
  <si>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</si>
  <si>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</si>
  <si>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</si>
  <si>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</si>
  <si>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</si>
  <si>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</si>
  <si>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</si>
  <si>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</si>
  <si>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</si>
  <si>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</si>
  <si>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</si>
  <si>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</si>
  <si>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</si>
  <si>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</si>
  <si>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</si>
  <si>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</si>
  <si>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</si>
  <si>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</si>
  <si>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</si>
  <si>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</si>
  <si>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</si>
  <si>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</si>
  <si>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</si>
  <si>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</si>
  <si>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</si>
  <si>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</si>
  <si>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</si>
  <si>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</si>
  <si>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</si>
  <si>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</si>
  <si>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</si>
  <si>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</si>
  <si>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</si>
  <si>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</si>
  <si>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</si>
  <si>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</si>
  <si>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</si>
  <si>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</si>
  <si>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</si>
  <si>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</si>
  <si>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</si>
  <si>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</si>
  <si>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</si>
  <si>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</si>
  <si>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</si>
  <si>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</si>
  <si>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</si>
  <si>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</si>
  <si>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</si>
  <si>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</si>
  <si>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</si>
  <si>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</si>
  <si>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</si>
  <si>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</si>
  <si>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</si>
  <si>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</si>
  <si>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</si>
  <si>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</si>
  <si>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</si>
  <si>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</si>
  <si>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</si>
  <si>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</si>
  <si>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</si>
  <si>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</si>
  <si>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</si>
  <si>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</si>
  <si>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</si>
  <si>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</si>
  <si>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</si>
  <si>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</si>
  <si>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</si>
  <si>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</si>
  <si>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</si>
  <si>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</si>
  <si>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</si>
  <si>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</si>
  <si>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</si>
  <si>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</si>
  <si>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</si>
  <si>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</si>
  <si>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</si>
  <si>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</si>
  <si>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</si>
  <si>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</si>
  <si>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</si>
  <si>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</si>
  <si>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</si>
  <si>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</si>
  <si>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</si>
  <si>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</si>
  <si>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</si>
  <si>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</si>
  <si>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</si>
  <si>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</si>
  <si>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</si>
  <si>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</si>
  <si>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</si>
  <si>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</si>
  <si>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</si>
  <si>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</si>
  <si>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</si>
  <si>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</si>
  <si>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</si>
  <si>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</si>
  <si>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</si>
  <si>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</si>
  <si>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</si>
  <si>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</si>
  <si>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</si>
  <si>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</si>
  <si>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</si>
  <si>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</si>
  <si>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</si>
  <si>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</si>
  <si>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</si>
  <si>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</si>
  <si>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</si>
  <si>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</si>
  <si>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</si>
  <si>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</si>
  <si>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</si>
  <si>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</si>
  <si>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</si>
  <si>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</si>
  <si>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</si>
  <si>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</si>
  <si>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</si>
  <si>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</si>
  <si>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</si>
  <si>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</si>
  <si>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</si>
  <si>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</si>
  <si>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</si>
  <si>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</si>
  <si>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</si>
  <si>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</si>
  <si>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</si>
  <si>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</si>
  <si>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</si>
  <si>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</si>
  <si>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</si>
  <si>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</si>
  <si>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</si>
  <si>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</si>
  <si>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</si>
  <si>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</si>
  <si>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</si>
  <si>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</si>
  <si>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</si>
  <si>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</si>
  <si>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</si>
  <si>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</si>
  <si>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</si>
  <si>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</si>
  <si>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</si>
  <si>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</si>
  <si>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</si>
  <si>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</si>
  <si>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</si>
  <si>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</si>
  <si>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</si>
  <si>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</si>
  <si>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</si>
  <si>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</si>
  <si>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</si>
  <si>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</si>
  <si>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</si>
  <si>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</si>
  <si>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</si>
  <si>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</si>
  <si>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</si>
  <si>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</si>
  <si>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</si>
  <si>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</si>
  <si>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</si>
  <si>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</si>
  <si>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</si>
  <si>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</si>
  <si>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</si>
  <si>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</si>
  <si>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</si>
  <si>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</si>
  <si>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</si>
  <si>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</si>
  <si>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</si>
  <si>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</si>
  <si>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</si>
  <si>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</si>
  <si>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</si>
  <si>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</si>
  <si>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</si>
  <si>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</si>
  <si>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</si>
  <si>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</si>
  <si>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</si>
  <si>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</si>
  <si>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</si>
  <si>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</si>
  <si>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</si>
  <si>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</si>
  <si>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</si>
  <si>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</si>
  <si>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</si>
  <si>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</si>
  <si>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</si>
  <si>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</si>
  <si>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</si>
  <si>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</si>
  <si>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</si>
  <si>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</si>
  <si>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</si>
  <si>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</si>
  <si>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</si>
  <si>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</si>
  <si>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</si>
  <si>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</si>
  <si>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</si>
  <si>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</si>
  <si>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</si>
  <si>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</si>
  <si>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</si>
  <si>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</si>
  <si>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</si>
  <si>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</si>
  <si>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</si>
  <si>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</si>
  <si>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</si>
  <si>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</si>
  <si>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</si>
  <si>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</si>
  <si>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</si>
  <si>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</si>
  <si>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</si>
  <si>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</si>
  <si>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</si>
  <si>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</si>
  <si>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</si>
  <si>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</si>
  <si>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</si>
  <si>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</si>
  <si>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</si>
  <si>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</si>
  <si>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</si>
  <si>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</si>
  <si>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</si>
  <si>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</si>
  <si>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</si>
  <si>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</si>
  <si>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</si>
  <si>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</si>
  <si>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</si>
  <si>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</si>
  <si>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</si>
  <si>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</si>
  <si>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</si>
  <si>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</si>
  <si>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</si>
  <si>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</si>
  <si>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</si>
  <si>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</si>
  <si>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</si>
  <si>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</si>
  <si>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</si>
  <si>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</si>
  <si>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</si>
  <si>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</si>
  <si>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</si>
  <si>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</si>
  <si>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</si>
  <si>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</si>
  <si>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</si>
  <si>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</si>
  <si>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</si>
  <si>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</si>
  <si>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</si>
  <si>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</si>
  <si>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</si>
  <si>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</si>
  <si>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</si>
  <si>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</si>
  <si>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</si>
  <si>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</si>
  <si>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</si>
  <si>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</si>
  <si>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</si>
  <si>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</si>
  <si>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</si>
  <si>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</si>
  <si>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</si>
  <si>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</si>
  <si>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</si>
  <si>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</si>
  <si>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</si>
  <si>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</si>
  <si>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</si>
  <si>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</si>
  <si>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</si>
  <si>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</si>
  <si>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</si>
  <si>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</si>
  <si>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</si>
  <si>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</si>
  <si>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</si>
  <si>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</si>
  <si>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</si>
  <si>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</si>
  <si>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</si>
  <si>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</si>
  <si>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</si>
  <si>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</si>
  <si>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</si>
  <si>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</si>
  <si>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</si>
  <si>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</si>
  <si>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</si>
  <si>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</si>
  <si>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</si>
  <si>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</si>
  <si>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</si>
  <si>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</si>
  <si>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</si>
  <si>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</si>
  <si>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</si>
  <si>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</si>
  <si>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</si>
  <si>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</si>
  <si>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</si>
  <si>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</si>
  <si>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</si>
  <si>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</si>
  <si>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</si>
  <si>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</si>
  <si>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</si>
  <si>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</si>
  <si>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</si>
  <si>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</si>
  <si>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</si>
  <si>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</si>
  <si>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</si>
  <si>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</si>
  <si>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</si>
  <si>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</si>
  <si>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</si>
  <si>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</si>
  <si>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</si>
  <si>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</si>
  <si>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</si>
  <si>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</si>
  <si>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</si>
  <si>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</si>
  <si>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</si>
  <si>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</si>
  <si>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</si>
  <si>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</si>
  <si>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</si>
  <si>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</si>
  <si>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</si>
  <si>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</si>
  <si>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</si>
  <si>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</si>
  <si>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</si>
  <si>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</si>
  <si>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</si>
  <si>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</si>
  <si>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</si>
  <si>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</si>
  <si>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</si>
  <si>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</si>
  <si>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</si>
  <si>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</si>
  <si>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</si>
  <si>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</si>
  <si>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</si>
  <si>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</si>
  <si>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</si>
  <si>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</si>
  <si>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</si>
  <si>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</si>
  <si>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</si>
  <si>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</si>
  <si>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</si>
  <si>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</si>
  <si>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</si>
  <si>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</si>
  <si>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</si>
  <si>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</si>
  <si>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</si>
  <si>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</si>
  <si>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</si>
  <si>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</si>
  <si>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</si>
  <si>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</si>
  <si>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</si>
  <si>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</si>
  <si>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</si>
  <si>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</si>
  <si>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</si>
  <si>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</si>
  <si>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</si>
  <si>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</si>
  <si>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</si>
  <si>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</si>
  <si>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</si>
  <si>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</si>
  <si>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</si>
  <si>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</si>
  <si>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</si>
  <si>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</si>
  <si>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</si>
  <si>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</si>
  <si>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</si>
  <si>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</si>
  <si>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</si>
  <si>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</si>
  <si>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</si>
  <si>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</si>
  <si>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</si>
  <si>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</si>
  <si>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</si>
  <si>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</si>
  <si>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</si>
  <si>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</si>
  <si>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</si>
  <si>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</si>
  <si>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</si>
  <si>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</si>
  <si>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</si>
  <si>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</si>
  <si>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</si>
  <si>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</si>
  <si>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</si>
  <si>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</si>
  <si>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</si>
  <si>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</si>
  <si>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</si>
  <si>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</si>
  <si>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</si>
  <si>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</si>
  <si>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</si>
  <si>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</si>
  <si>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</si>
  <si>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</si>
  <si>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</si>
  <si>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</si>
  <si>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</si>
  <si>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</si>
  <si>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</si>
  <si>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</si>
  <si>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</si>
  <si>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</si>
  <si>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</si>
  <si>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</si>
  <si>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</si>
  <si>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</si>
  <si>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</si>
  <si>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</si>
  <si>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</si>
  <si>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</si>
  <si>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</si>
  <si>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</si>
  <si>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</si>
  <si>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</si>
  <si>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</si>
  <si>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</si>
  <si>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</si>
  <si>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</si>
  <si>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</si>
  <si>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</si>
  <si>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</si>
  <si>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</si>
  <si>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</si>
  <si>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</si>
  <si>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</si>
  <si>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</si>
  <si>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</si>
  <si>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</si>
  <si>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</si>
  <si>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</si>
  <si>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</si>
  <si>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</si>
  <si>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</si>
  <si>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</si>
  <si>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</si>
  <si>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</si>
  <si>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</si>
  <si>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</si>
  <si>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</si>
  <si>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</si>
  <si>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</si>
  <si>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</si>
  <si>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</si>
  <si>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</si>
  <si>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</si>
  <si>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</si>
  <si>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</si>
  <si>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</si>
  <si>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</si>
  <si>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</si>
  <si>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</si>
  <si>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</si>
  <si>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</si>
  <si>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</si>
  <si>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</si>
  <si>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</si>
  <si>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</si>
  <si>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</si>
  <si>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</si>
  <si>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</si>
  <si>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</si>
  <si>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</si>
  <si>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</si>
  <si>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</si>
  <si>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</si>
  <si>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</si>
  <si>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</si>
  <si>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</si>
  <si>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</si>
  <si>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</si>
  <si>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</si>
  <si>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</si>
  <si>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</si>
  <si>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</si>
  <si>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</si>
  <si>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</si>
  <si>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</si>
  <si>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</si>
  <si>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</si>
  <si>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</si>
  <si>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</si>
  <si>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</si>
  <si>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</si>
  <si>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</si>
  <si>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</si>
  <si>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</si>
  <si>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</si>
  <si>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</si>
  <si>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</si>
  <si>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</si>
  <si>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</si>
  <si>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</si>
  <si>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</si>
  <si>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</si>
  <si>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</si>
  <si>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</si>
  <si>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</si>
  <si>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</si>
  <si>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</si>
  <si>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</si>
  <si>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</si>
  <si>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</si>
  <si>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</si>
  <si>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</si>
  <si>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</si>
  <si>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</si>
  <si>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</si>
  <si>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</si>
  <si>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</si>
  <si>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</si>
  <si>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</si>
  <si>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</si>
  <si>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</si>
  <si>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</si>
  <si>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</si>
  <si>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</si>
  <si>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</si>
  <si>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</si>
  <si>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</si>
  <si>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</si>
  <si>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</si>
  <si>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</si>
  <si>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</si>
  <si>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</si>
  <si>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</si>
  <si>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</si>
  <si>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</si>
  <si>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</si>
  <si>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</si>
  <si>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</si>
  <si>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</si>
  <si>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</si>
  <si>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</si>
  <si>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</si>
  <si>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</si>
  <si>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</si>
  <si>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</si>
  <si>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</si>
  <si>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</si>
  <si>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</si>
  <si>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</si>
  <si>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</si>
  <si>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</si>
  <si>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</si>
  <si>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</si>
  <si>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</si>
  <si>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</si>
  <si>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</si>
  <si>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</si>
  <si>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</si>
  <si>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</si>
  <si>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</si>
  <si>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</si>
  <si>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</si>
  <si>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</si>
  <si>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</si>
  <si>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</si>
  <si>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</si>
  <si>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</si>
  <si>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</si>
  <si>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</si>
  <si>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</si>
  <si>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</si>
  <si>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</si>
  <si>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</si>
  <si>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</si>
  <si>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</si>
  <si>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</si>
  <si>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</si>
  <si>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</si>
  <si>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</si>
  <si>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</si>
  <si>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</si>
  <si>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</si>
  <si>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</si>
  <si>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</si>
  <si>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</si>
  <si>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</si>
  <si>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</si>
  <si>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</si>
  <si>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</si>
  <si>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</si>
  <si>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</si>
  <si>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</si>
  <si>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</si>
  <si>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</si>
  <si>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</si>
  <si>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</si>
  <si>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</si>
  <si>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</si>
  <si>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</si>
  <si>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</si>
  <si>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</si>
  <si>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</si>
  <si>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</si>
  <si>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</si>
  <si>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</si>
  <si>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</si>
  <si>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</si>
  <si>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</si>
  <si>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</si>
  <si>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</si>
  <si>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</si>
  <si>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</si>
  <si>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</si>
  <si>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</si>
  <si>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</si>
  <si>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</si>
  <si>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</si>
  <si>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</si>
  <si>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</si>
  <si>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</si>
  <si>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</si>
  <si>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</si>
  <si>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</si>
  <si>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</si>
  <si>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</si>
  <si>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</si>
  <si>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</si>
  <si>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</si>
  <si>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</si>
  <si>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</si>
  <si>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</si>
  <si>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</si>
  <si>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</si>
  <si>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</si>
  <si>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</si>
  <si>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</si>
  <si>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</si>
  <si>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</si>
  <si>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</si>
  <si>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</si>
  <si>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</si>
  <si>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</si>
  <si>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</si>
  <si>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</si>
  <si>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</si>
  <si>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</si>
  <si>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</si>
  <si>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</si>
  <si>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</si>
  <si>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</si>
  <si>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</si>
  <si>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</si>
  <si>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</si>
  <si>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</si>
  <si>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</si>
  <si>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</si>
  <si>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</si>
  <si>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</si>
  <si>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</si>
  <si>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</si>
  <si>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</si>
  <si>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</si>
  <si>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</si>
  <si>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</si>
  <si>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</si>
  <si>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</si>
  <si>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</si>
  <si>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</si>
  <si>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</si>
  <si>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</si>
  <si>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</si>
  <si>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</si>
  <si>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</si>
  <si>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</si>
  <si>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</si>
  <si>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</si>
  <si>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</si>
  <si>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</si>
  <si>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</si>
  <si>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</si>
  <si>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</si>
  <si>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</si>
  <si>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</si>
  <si>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</si>
  <si>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</si>
  <si>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</si>
  <si>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</si>
  <si>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</si>
  <si>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</si>
  <si>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</si>
  <si>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</si>
  <si>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</si>
  <si>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</si>
  <si>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</si>
  <si>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</si>
  <si>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</si>
  <si>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</si>
  <si>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</si>
  <si>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</si>
  <si>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</si>
  <si>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</si>
  <si>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</si>
  <si>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</si>
  <si>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</si>
  <si>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</si>
  <si>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</si>
  <si>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</si>
  <si>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</si>
  <si>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</si>
  <si>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</si>
  <si>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</si>
  <si>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</si>
  <si>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</si>
  <si>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</si>
  <si>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</si>
  <si>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</si>
  <si>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</si>
  <si>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</si>
  <si>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</si>
  <si>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</si>
  <si>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</si>
  <si>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</si>
  <si>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</si>
  <si>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</si>
  <si>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</si>
  <si>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</si>
  <si>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</si>
  <si>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</si>
  <si>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</si>
  <si>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</si>
  <si>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</si>
  <si>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</si>
  <si>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</si>
  <si>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</si>
  <si>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</si>
  <si>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</si>
  <si>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</si>
  <si>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</si>
  <si>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</si>
  <si>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</si>
  <si>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</si>
  <si>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</si>
  <si>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</si>
  <si>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</si>
  <si>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</si>
  <si>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</si>
  <si>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</si>
  <si>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</si>
  <si>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</si>
  <si>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</si>
  <si>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</si>
  <si>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</si>
  <si>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</si>
  <si>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</si>
  <si>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</si>
  <si>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</si>
  <si>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</si>
  <si>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</si>
  <si>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</si>
  <si>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</si>
  <si>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</si>
  <si>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</si>
  <si>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</si>
  <si>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</si>
  <si>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</si>
  <si>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</si>
  <si>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</si>
  <si>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</si>
  <si>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</si>
  <si>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</si>
  <si>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</si>
  <si>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</si>
  <si>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</si>
  <si>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</si>
  <si>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</si>
  <si>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</si>
  <si>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</si>
  <si>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</si>
  <si>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</si>
  <si>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</si>
  <si>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</si>
  <si>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</si>
  <si>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</si>
  <si>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</si>
  <si>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</si>
  <si>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</si>
  <si>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</si>
  <si>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</si>
  <si>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</si>
  <si>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</si>
  <si>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</si>
  <si>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</si>
  <si>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</si>
  <si>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</si>
  <si>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</si>
  <si>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</si>
  <si>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</si>
  <si>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</si>
  <si>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</si>
  <si>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</si>
  <si>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</si>
  <si>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</si>
  <si>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</si>
  <si>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</si>
  <si>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</si>
  <si>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</si>
  <si>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</si>
  <si>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</si>
  <si>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</si>
  <si>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</si>
  <si>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</si>
  <si>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</si>
  <si>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</si>
  <si>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</si>
  <si>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</si>
  <si>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</si>
  <si>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</si>
  <si>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</si>
  <si>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</si>
  <si>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</si>
  <si>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</si>
  <si>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</si>
  <si>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</si>
  <si>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</si>
  <si>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</si>
  <si>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</si>
  <si>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</si>
  <si>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</si>
  <si>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</si>
  <si>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</si>
  <si>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</si>
  <si>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</si>
  <si>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</si>
  <si>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</si>
  <si>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</si>
  <si>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</si>
  <si>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</si>
  <si>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</si>
  <si>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</si>
  <si>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</si>
  <si>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</si>
  <si>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</si>
  <si>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</si>
  <si>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</si>
  <si>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</si>
  <si>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</si>
  <si>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</si>
  <si>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</si>
  <si>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</si>
  <si>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</si>
  <si>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</si>
  <si>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</si>
  <si>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</si>
  <si>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</si>
  <si>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</si>
  <si>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</si>
  <si>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</si>
  <si>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</si>
  <si>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</si>
  <si>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</si>
  <si>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</si>
  <si>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</si>
  <si>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</si>
  <si>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</si>
  <si>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</si>
  <si>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</si>
  <si>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</si>
  <si>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</si>
  <si>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</si>
  <si>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</si>
  <si>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</si>
  <si>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</si>
  <si>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</si>
  <si>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</si>
  <si>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</si>
  <si>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</si>
  <si>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</si>
  <si>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</si>
  <si>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</si>
  <si>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</si>
  <si>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</si>
  <si>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</si>
  <si>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</si>
  <si>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</si>
  <si>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</si>
  <si>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</si>
  <si>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</si>
  <si>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</si>
  <si>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</si>
  <si>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</si>
  <si>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</si>
  <si>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</si>
  <si>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</si>
  <si>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</si>
  <si>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</si>
  <si>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</si>
  <si>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</si>
  <si>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</si>
  <si>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</si>
  <si>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</si>
  <si>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</si>
  <si>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</si>
  <si>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</si>
  <si>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</si>
  <si>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</si>
  <si>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</si>
  <si>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</si>
  <si>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</si>
  <si>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</si>
  <si>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</si>
  <si>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</si>
  <si>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</si>
  <si>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</si>
  <si>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</si>
  <si>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</si>
  <si>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</si>
  <si>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</si>
  <si>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</si>
  <si>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</si>
  <si>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</si>
  <si>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</si>
  <si>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</si>
  <si>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</si>
  <si>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</si>
  <si>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</si>
  <si>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</si>
  <si>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</si>
  <si>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</si>
  <si>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</si>
  <si>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</si>
  <si>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</si>
  <si>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</si>
  <si>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</si>
  <si>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</si>
  <si>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</si>
  <si>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</si>
  <si>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</si>
  <si>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</si>
  <si>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</si>
  <si>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</si>
  <si>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</si>
  <si>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</si>
  <si>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</si>
  <si>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</si>
  <si>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</si>
  <si>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</si>
  <si>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</si>
  <si>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</si>
  <si>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</si>
  <si>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</si>
  <si>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</si>
  <si>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</si>
  <si>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</si>
  <si>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</si>
  <si>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</si>
  <si>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</si>
  <si>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</si>
  <si>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</si>
  <si>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</si>
  <si>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</si>
  <si>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</si>
  <si>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</si>
  <si>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</si>
  <si>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</si>
  <si>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</si>
  <si>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</si>
  <si>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</si>
  <si>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</si>
  <si>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</si>
  <si>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</si>
  <si>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</si>
  <si>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</si>
  <si>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</si>
  <si>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</si>
  <si>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</si>
  <si>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</si>
  <si>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</si>
  <si>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</si>
  <si>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</si>
  <si>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</si>
  <si>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</si>
  <si>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</si>
  <si>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</si>
  <si>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</si>
  <si>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</si>
  <si>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</si>
  <si>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</si>
  <si>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</si>
  <si>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</si>
  <si>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</si>
  <si>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</si>
  <si>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</si>
  <si>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</si>
  <si>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</si>
  <si>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</si>
  <si>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</si>
  <si>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</si>
  <si>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</si>
  <si>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</si>
  <si>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</si>
  <si>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</si>
  <si>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</si>
  <si>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</si>
  <si>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</si>
  <si>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</si>
  <si>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</si>
  <si>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</si>
  <si>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</si>
  <si>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</si>
  <si>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</si>
  <si>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</si>
  <si>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</si>
  <si>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</si>
  <si>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</si>
  <si>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</si>
  <si>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</si>
  <si>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</si>
  <si>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</si>
  <si>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</si>
  <si>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</si>
  <si>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</si>
  <si>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</si>
  <si>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</si>
  <si>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</si>
  <si>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</si>
  <si>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</si>
  <si>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</si>
  <si>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</si>
  <si>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</si>
  <si>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</si>
  <si>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</si>
  <si>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</si>
  <si>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</si>
  <si>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</si>
  <si>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</si>
  <si>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</si>
  <si>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</si>
  <si>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</si>
  <si>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</si>
  <si>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</si>
  <si>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</si>
  <si>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</si>
  <si>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</si>
  <si>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</si>
  <si>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</si>
  <si>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</si>
  <si>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</si>
  <si>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</si>
  <si>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</si>
  <si>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</si>
  <si>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</si>
  <si>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</si>
  <si>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</si>
  <si>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</si>
  <si>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</si>
  <si>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</si>
  <si>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</si>
  <si>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</si>
  <si>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</si>
  <si>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</si>
  <si>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</si>
  <si>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</si>
  <si>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</si>
  <si>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</si>
  <si>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</si>
  <si>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</si>
  <si>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</si>
  <si>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</si>
  <si>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</si>
  <si>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</si>
  <si>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</si>
  <si>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</si>
  <si>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</si>
  <si>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</si>
  <si>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</si>
  <si>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</si>
  <si>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</si>
  <si>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</si>
  <si>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</si>
  <si>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</si>
  <si>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</si>
  <si>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</si>
  <si>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</si>
  <si>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</si>
  <si>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</si>
  <si>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</si>
  <si>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</si>
  <si>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</si>
  <si>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</si>
  <si>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</si>
  <si>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</si>
  <si>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</si>
  <si>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</si>
  <si>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</si>
  <si>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</si>
  <si>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</si>
  <si>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</si>
  <si>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</si>
  <si>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</si>
  <si>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</si>
  <si>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</si>
  <si>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</si>
  <si>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</si>
  <si>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</si>
  <si>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</si>
  <si>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</si>
  <si>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</si>
  <si>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</si>
  <si>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</si>
  <si>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</si>
  <si>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</si>
  <si>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</si>
  <si>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</si>
  <si>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</si>
  <si>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</si>
  <si>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</si>
  <si>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</si>
  <si>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</si>
  <si>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</si>
  <si>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</si>
  <si>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</si>
  <si>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</si>
  <si>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</si>
  <si>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</si>
  <si>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</si>
  <si>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</si>
  <si>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</si>
  <si>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</si>
  <si>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</si>
  <si>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</si>
  <si>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</si>
  <si>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</si>
  <si>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</si>
  <si>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</si>
  <si>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</si>
  <si>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</si>
  <si>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</si>
  <si>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</si>
  <si>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</si>
  <si>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</si>
  <si>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</si>
  <si>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</si>
  <si>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</si>
  <si>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</si>
  <si>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</si>
  <si>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</si>
  <si>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</si>
  <si>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</si>
  <si>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</si>
  <si>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</si>
  <si>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</si>
  <si>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</si>
  <si>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</si>
  <si>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</si>
  <si>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</si>
  <si>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</si>
  <si>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</si>
  <si>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</si>
  <si>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</si>
  <si>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</si>
  <si>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</si>
  <si>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</si>
  <si>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</si>
  <si>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</si>
  <si>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</si>
  <si>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</si>
  <si>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</si>
  <si>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</si>
  <si>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</si>
  <si>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</si>
  <si>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</si>
  <si>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</si>
  <si>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</si>
  <si>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</si>
  <si>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</si>
  <si>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</si>
  <si>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</si>
  <si>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</si>
  <si>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</si>
  <si>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</si>
  <si>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</si>
  <si>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</si>
  <si>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</si>
  <si>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</si>
  <si>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</si>
  <si>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</si>
  <si>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</si>
  <si>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</si>
  <si>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</si>
  <si>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</si>
  <si>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</si>
  <si>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</si>
  <si>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</si>
  <si>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</si>
  <si>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</si>
  <si>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</si>
  <si>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</si>
  <si>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</si>
  <si>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</si>
  <si>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</si>
  <si>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</si>
  <si>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</si>
  <si>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</si>
  <si>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</si>
  <si>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</si>
  <si>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</si>
  <si>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</si>
  <si>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</si>
  <si>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</si>
  <si>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</si>
  <si>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</si>
  <si>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</si>
  <si>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</si>
  <si>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</si>
  <si>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</si>
  <si>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</si>
  <si>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</si>
  <si>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</si>
  <si>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</si>
  <si>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</si>
  <si>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</si>
  <si>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</si>
  <si>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</si>
  <si>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</si>
  <si>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</si>
  <si>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</si>
  <si>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</si>
  <si>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</si>
  <si>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</si>
  <si>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</si>
  <si>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</si>
  <si>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</si>
  <si>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</si>
  <si>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</si>
  <si>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</si>
  <si>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</si>
  <si>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</si>
  <si>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</si>
  <si>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</si>
  <si>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</si>
  <si>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</si>
  <si>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</si>
  <si>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</si>
  <si>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</si>
  <si>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</si>
  <si>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</si>
  <si>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</si>
  <si>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</si>
  <si>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</si>
  <si>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</si>
  <si>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</si>
  <si>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</si>
  <si>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</si>
  <si>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</si>
  <si>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</si>
  <si>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</si>
  <si>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</si>
  <si>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</si>
  <si>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</si>
  <si>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</si>
  <si>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</si>
  <si>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</si>
  <si>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</si>
  <si>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</si>
  <si>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</si>
  <si>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</si>
  <si>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</si>
  <si>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</si>
  <si>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</si>
  <si>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</si>
  <si>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</si>
  <si>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</si>
  <si>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</si>
  <si>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</si>
  <si>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</si>
  <si>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</si>
  <si>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</si>
  <si>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</si>
  <si>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</si>
  <si>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</si>
  <si>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</si>
  <si>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</si>
  <si>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</si>
  <si>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</si>
  <si>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</si>
  <si>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</si>
  <si>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</si>
  <si>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</si>
  <si>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</si>
  <si>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</si>
  <si>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</si>
  <si>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</si>
  <si>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</si>
  <si>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</si>
  <si>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</si>
  <si>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</si>
  <si>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</si>
  <si>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</si>
  <si>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</si>
  <si>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</si>
  <si>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</si>
  <si>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</si>
  <si>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</si>
  <si>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</si>
  <si>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</si>
  <si>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</si>
  <si>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</si>
  <si>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</si>
  <si>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</si>
  <si>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</si>
  <si>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</si>
  <si>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</si>
  <si>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</si>
  <si>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</si>
  <si>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</si>
  <si>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</si>
  <si>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</si>
  <si>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</si>
  <si>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</si>
  <si>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</si>
  <si>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</si>
  <si>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</si>
  <si>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</si>
  <si>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</si>
  <si>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</si>
  <si>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</si>
  <si>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</si>
  <si>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</si>
  <si>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</si>
  <si>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</si>
  <si>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</si>
  <si>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</si>
  <si>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</si>
  <si>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</si>
  <si>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</si>
  <si>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</si>
  <si>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</si>
  <si>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</si>
  <si>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</si>
  <si>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</si>
  <si>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</si>
  <si>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</si>
  <si>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</si>
  <si>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</si>
  <si>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</si>
  <si>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</si>
  <si>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</si>
  <si>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</si>
  <si>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</si>
  <si>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</si>
  <si>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</si>
  <si>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</si>
  <si>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</si>
  <si>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</si>
  <si>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</si>
  <si>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</si>
  <si>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</si>
  <si>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</si>
  <si>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</si>
  <si>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</si>
  <si>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</si>
  <si>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</si>
  <si>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</si>
  <si>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</si>
  <si>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</si>
  <si>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</si>
  <si>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</si>
  <si>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</si>
  <si>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</si>
  <si>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</si>
  <si>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</si>
  <si>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</si>
  <si>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</si>
  <si>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</si>
  <si>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</si>
  <si>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</si>
  <si>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</si>
  <si>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</si>
  <si>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</si>
  <si>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</si>
  <si>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</si>
  <si>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</si>
  <si>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</si>
  <si>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</si>
  <si>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</si>
  <si>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</si>
  <si>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</si>
  <si>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</si>
  <si>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</si>
  <si>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</si>
  <si>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</si>
  <si>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</si>
  <si>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</si>
  <si>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</si>
  <si>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</si>
  <si>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</si>
  <si>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</si>
  <si>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</si>
  <si>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</si>
  <si>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</si>
  <si>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</si>
  <si>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</si>
  <si>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</si>
  <si>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</si>
  <si>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</si>
  <si>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</si>
  <si>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</si>
  <si>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</si>
  <si>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</si>
  <si>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</si>
  <si>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</si>
  <si>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</si>
  <si>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</si>
  <si>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</si>
  <si>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</si>
  <si>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</si>
  <si>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</si>
  <si>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</si>
  <si>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</si>
  <si>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</si>
  <si>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</si>
  <si>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</si>
  <si>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</si>
  <si>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</si>
  <si>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</si>
  <si>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</si>
  <si>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</si>
  <si>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</si>
  <si>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</si>
  <si>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</si>
  <si>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</si>
  <si>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</si>
  <si>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</si>
  <si>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</si>
  <si>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</si>
  <si>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</si>
  <si>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</si>
  <si>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</si>
  <si>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</si>
  <si>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</si>
  <si>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</si>
  <si>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</si>
  <si>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</si>
  <si>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</si>
  <si>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</si>
  <si>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</si>
  <si>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</si>
  <si>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</si>
  <si>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</si>
  <si>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</si>
  <si>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</si>
  <si>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</si>
  <si>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</si>
  <si>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</si>
  <si>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</si>
  <si>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</si>
  <si>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</si>
  <si>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</si>
  <si>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</si>
  <si>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</si>
  <si>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</si>
  <si>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</si>
  <si>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</si>
  <si>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</si>
  <si>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</si>
  <si>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</si>
  <si>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</si>
  <si>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</si>
  <si>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</si>
  <si>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</si>
  <si>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</si>
  <si>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</si>
  <si>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</si>
  <si>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</si>
  <si>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</si>
  <si>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</si>
  <si>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</si>
  <si>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</si>
  <si>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</si>
  <si>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</si>
  <si>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</si>
  <si>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</si>
  <si>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</si>
  <si>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</si>
  <si>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</si>
  <si>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</si>
  <si>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</si>
  <si>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</si>
  <si>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</si>
  <si>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</si>
  <si>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</si>
  <si>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</si>
  <si>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</si>
  <si>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</si>
  <si>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</si>
  <si>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</si>
  <si>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</si>
  <si>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</si>
  <si>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</si>
  <si>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</si>
  <si>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</si>
  <si>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</si>
  <si>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</si>
  <si>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</si>
  <si>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</si>
  <si>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</si>
  <si>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</si>
  <si>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</si>
  <si>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</si>
  <si>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</si>
  <si>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</si>
  <si>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</si>
  <si>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</si>
  <si>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</si>
  <si>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</si>
  <si>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</si>
  <si>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</si>
  <si>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</si>
  <si>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</si>
  <si>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</si>
  <si>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</si>
  <si>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</si>
  <si>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</si>
  <si>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</si>
  <si>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</si>
  <si>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</si>
  <si>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</si>
  <si>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</si>
  <si>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</si>
  <si>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</si>
  <si>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</si>
  <si>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</si>
  <si>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</si>
  <si>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</si>
  <si>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</si>
  <si>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</si>
  <si>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</si>
  <si>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</si>
  <si>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</si>
  <si>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</si>
  <si>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</si>
  <si>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</si>
  <si>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</si>
  <si>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</si>
  <si>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</si>
  <si>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</si>
  <si>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</si>
  <si>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</si>
  <si>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</si>
  <si>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</si>
  <si>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</si>
  <si>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</si>
  <si>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</si>
  <si>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</si>
  <si>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</si>
  <si>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</si>
  <si>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</si>
  <si>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</si>
  <si>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</si>
  <si>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</si>
  <si>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</si>
  <si>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</si>
  <si>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</si>
  <si>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</si>
  <si>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</si>
  <si>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</si>
  <si>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</si>
  <si>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</si>
  <si>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</si>
  <si>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</si>
  <si>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</si>
  <si>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</si>
  <si>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</si>
  <si>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</si>
  <si>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</si>
  <si>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</si>
  <si>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</si>
  <si>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</si>
  <si>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</si>
  <si>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</si>
  <si>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</si>
  <si>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</si>
  <si>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</si>
  <si>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</si>
  <si>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</si>
  <si>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</si>
  <si>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</si>
  <si>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</si>
  <si>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</si>
  <si>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</si>
  <si>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</si>
  <si>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</si>
  <si>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</si>
  <si>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</si>
  <si>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</si>
  <si>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</si>
  <si>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</si>
  <si>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</si>
  <si>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</si>
  <si>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</si>
  <si>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</si>
  <si>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</si>
  <si>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</si>
  <si>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</si>
  <si>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</si>
  <si>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</si>
  <si>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</si>
  <si>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</si>
  <si>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</si>
  <si>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</si>
  <si>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</si>
  <si>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</si>
  <si>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</si>
  <si>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</si>
  <si>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</si>
  <si>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</si>
  <si>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</si>
  <si>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</si>
  <si>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</si>
  <si>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</si>
  <si>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</si>
  <si>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</si>
  <si>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</si>
  <si>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</si>
  <si>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</si>
  <si>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</si>
  <si>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</si>
  <si>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</si>
  <si>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</si>
  <si>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</si>
  <si>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</si>
  <si>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</si>
  <si>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</si>
  <si>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</si>
  <si>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</si>
  <si>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</si>
  <si>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</si>
  <si>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</si>
  <si>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</si>
  <si>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</si>
  <si>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</si>
  <si>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</si>
  <si>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</si>
  <si>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</si>
  <si>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</si>
  <si>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</si>
  <si>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</si>
  <si>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</si>
  <si>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</si>
  <si>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</si>
  <si>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</si>
  <si>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</si>
  <si>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</si>
  <si>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</si>
  <si>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</si>
  <si>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</si>
  <si>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</si>
  <si>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</si>
  <si>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</si>
  <si>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</si>
  <si>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</si>
  <si>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</si>
  <si>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</si>
  <si>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</si>
  <si>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</si>
  <si>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</si>
  <si>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</si>
  <si>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</si>
  <si>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</si>
  <si>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</si>
  <si>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</si>
  <si>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</si>
  <si>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</si>
  <si>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</si>
  <si>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</si>
  <si>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</si>
  <si>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</si>
  <si>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</si>
  <si>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</si>
  <si>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</si>
  <si>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</si>
  <si>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</si>
  <si>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</si>
  <si>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</si>
  <si>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</si>
  <si>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</si>
  <si>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</si>
  <si>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</si>
  <si>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</si>
  <si>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</si>
  <si>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</si>
  <si>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</si>
  <si>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</si>
  <si>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</si>
  <si>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</si>
  <si>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</si>
  <si>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</si>
  <si>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</si>
  <si>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</si>
  <si>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</si>
  <si>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</si>
  <si>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</si>
  <si>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</si>
  <si>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</si>
  <si>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</si>
  <si>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</si>
  <si>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</si>
  <si>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</si>
  <si>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</si>
  <si>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</si>
  <si>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</si>
  <si>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</si>
  <si>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</si>
  <si>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</si>
  <si>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</si>
  <si>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</si>
  <si>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</si>
  <si>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</si>
  <si>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</si>
  <si>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</si>
  <si>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</si>
  <si>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</si>
  <si>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</si>
  <si>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</si>
  <si>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</si>
  <si>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</si>
  <si>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</si>
  <si>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</si>
  <si>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</si>
  <si>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</si>
  <si>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</si>
  <si>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</si>
  <si>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</si>
  <si>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</si>
  <si>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</si>
  <si>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</si>
  <si>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</si>
  <si>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</si>
  <si>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</si>
  <si>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</si>
  <si>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</si>
  <si>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</si>
  <si>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</si>
  <si>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</si>
  <si>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</si>
  <si>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</si>
  <si>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</si>
  <si>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</si>
  <si>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</si>
  <si>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</si>
  <si>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</si>
  <si>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</si>
  <si>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</si>
  <si>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</si>
  <si>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</si>
  <si>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</si>
  <si>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</si>
  <si>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</si>
  <si>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</si>
  <si>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</si>
  <si>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</si>
  <si>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</si>
  <si>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</si>
  <si>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</si>
  <si>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</si>
  <si>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</si>
  <si>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</si>
  <si>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</si>
  <si>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</si>
  <si>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</si>
  <si>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</si>
  <si>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</si>
  <si>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</si>
  <si>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</si>
  <si>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</si>
  <si>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</si>
  <si>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</si>
  <si>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</si>
  <si>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</si>
  <si>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</si>
  <si>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</si>
  <si>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</si>
  <si>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</si>
  <si>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</si>
  <si>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</si>
  <si>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</si>
  <si>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</si>
  <si>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</si>
  <si>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</si>
  <si>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</si>
  <si>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</si>
  <si>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</si>
  <si>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</si>
  <si>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</si>
  <si>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</si>
  <si>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</si>
  <si>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</si>
  <si>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</si>
  <si>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</si>
  <si>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</si>
  <si>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</si>
  <si>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</si>
  <si>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</si>
  <si>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</si>
  <si>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</si>
  <si>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</si>
  <si>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</si>
  <si>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</si>
  <si>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</si>
  <si>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</si>
  <si>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</si>
  <si>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</si>
  <si>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</si>
  <si>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</si>
  <si>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</si>
  <si>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</si>
  <si>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</si>
  <si>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</si>
  <si>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</si>
  <si>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</si>
  <si>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</si>
  <si>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</si>
  <si>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</si>
  <si>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</si>
  <si>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</si>
  <si>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</si>
  <si>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</si>
  <si>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</si>
  <si>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</si>
  <si>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</si>
  <si>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</si>
  <si>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</si>
  <si>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</si>
  <si>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</si>
  <si>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</si>
  <si>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</si>
  <si>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</si>
  <si>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</si>
  <si>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</si>
  <si>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</si>
  <si>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</si>
  <si>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</si>
  <si>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</si>
  <si>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</si>
  <si>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</si>
  <si>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</si>
  <si>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</si>
  <si>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</si>
  <si>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</si>
  <si>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</si>
  <si>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</si>
  <si>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</si>
  <si>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</si>
  <si>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</si>
  <si>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</si>
  <si>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</si>
  <si>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</si>
  <si>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</si>
  <si>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</si>
  <si>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</si>
  <si>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</si>
  <si>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</si>
  <si>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</si>
  <si>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</si>
  <si>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</si>
  <si>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</si>
  <si>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</si>
  <si>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</si>
  <si>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</si>
  <si>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</si>
  <si>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</si>
  <si>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</si>
  <si>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</si>
  <si>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</si>
  <si>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</si>
  <si>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</si>
  <si>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</si>
  <si>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</si>
  <si>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</si>
  <si>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</si>
  <si>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</si>
  <si>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</si>
  <si>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</si>
  <si>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</si>
  <si>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</si>
  <si>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</si>
  <si>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</si>
  <si>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</si>
  <si>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</si>
  <si>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</si>
  <si>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</si>
  <si>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</si>
  <si>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</si>
  <si>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</si>
  <si>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</si>
  <si>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</si>
  <si>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</si>
  <si>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</si>
  <si>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</si>
  <si>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</si>
  <si>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</si>
  <si>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</si>
  <si>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</si>
  <si>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</si>
  <si>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</si>
  <si>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</si>
  <si>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</si>
  <si>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</si>
  <si>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</si>
  <si>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</si>
  <si>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</si>
  <si>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</si>
  <si>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</si>
  <si>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</si>
  <si>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</si>
  <si>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</si>
  <si>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</si>
  <si>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</si>
  <si>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</si>
  <si>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</si>
  <si>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</si>
  <si>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</si>
  <si>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</si>
  <si>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</si>
  <si>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</si>
  <si>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</si>
  <si>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</si>
  <si>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</si>
  <si>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</si>
  <si>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</si>
  <si>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</si>
  <si>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</si>
  <si>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</si>
  <si>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</si>
  <si>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</si>
  <si>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</si>
  <si>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</si>
  <si>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</si>
  <si>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</si>
  <si>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</si>
  <si>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</si>
  <si>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</si>
  <si>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</si>
  <si>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</si>
  <si>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</si>
  <si>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</si>
  <si>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</si>
  <si>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</si>
  <si>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</si>
  <si>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</si>
  <si>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</si>
  <si>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</si>
  <si>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</si>
  <si>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</si>
  <si>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</si>
  <si>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</si>
  <si>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</si>
  <si>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</si>
  <si>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</si>
  <si>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</si>
  <si>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</si>
  <si>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</si>
  <si>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</si>
  <si>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</si>
  <si>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</si>
  <si>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</si>
  <si>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</si>
  <si>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</si>
  <si>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</si>
  <si>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</si>
  <si>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</si>
  <si>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</si>
  <si>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</si>
  <si>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</si>
  <si>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</si>
  <si>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</si>
  <si>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</si>
  <si>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</si>
  <si>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</si>
  <si>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</si>
  <si>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</si>
  <si>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</si>
  <si>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</si>
  <si>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</si>
  <si>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</si>
  <si>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</si>
  <si>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</si>
  <si>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</si>
  <si>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</si>
  <si>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</si>
  <si>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</si>
  <si>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</si>
  <si>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</si>
  <si>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</si>
  <si>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</si>
  <si>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</si>
  <si>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</si>
  <si>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</si>
  <si>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</si>
  <si>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</si>
  <si>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</si>
  <si>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</si>
  <si>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</si>
  <si>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</si>
  <si>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</si>
  <si>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</si>
  <si>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</si>
  <si>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</si>
  <si>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</si>
  <si>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</si>
  <si>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</si>
  <si>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</si>
  <si>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</si>
  <si>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</si>
  <si>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</si>
  <si>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</si>
  <si>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</si>
  <si>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</si>
  <si>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</si>
  <si>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</si>
  <si>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</si>
  <si>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</si>
  <si>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</si>
  <si>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</si>
  <si>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</si>
  <si>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</si>
  <si>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</si>
  <si>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</si>
  <si>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</si>
  <si>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</si>
  <si>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</si>
  <si>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</si>
  <si>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</si>
  <si>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</si>
  <si>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</si>
  <si>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</si>
  <si>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</si>
  <si>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</si>
  <si>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</si>
  <si>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</si>
  <si>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</si>
  <si>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</si>
  <si>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</si>
  <si>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</si>
  <si>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</si>
  <si>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</si>
  <si>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</si>
  <si>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</si>
  <si>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</si>
  <si>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</si>
  <si>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</si>
  <si>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</si>
  <si>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</si>
  <si>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</si>
  <si>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</si>
  <si>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</si>
  <si>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</si>
  <si>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</si>
  <si>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</si>
  <si>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</si>
  <si>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</si>
  <si>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</si>
  <si>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</si>
  <si>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</si>
  <si>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</si>
  <si>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</si>
  <si>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</si>
  <si>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</si>
  <si>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</si>
  <si>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</si>
  <si>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</si>
  <si>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</si>
  <si>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</si>
  <si>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</si>
  <si>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</si>
  <si>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</si>
  <si>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</si>
  <si>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</si>
  <si>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</si>
  <si>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</si>
  <si>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</si>
  <si>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</si>
  <si>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</si>
  <si>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</si>
  <si>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</si>
  <si>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</si>
  <si>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</si>
  <si>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</si>
  <si>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</si>
  <si>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</si>
  <si>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</si>
  <si>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</si>
  <si>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</si>
  <si>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</si>
  <si>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</si>
  <si>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</si>
  <si>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</si>
  <si>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</si>
  <si>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</si>
  <si>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</si>
  <si>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</si>
  <si>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</si>
  <si>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</si>
  <si>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</si>
  <si>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</si>
  <si>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</si>
  <si>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</si>
  <si>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</si>
  <si>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</si>
  <si>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</si>
  <si>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</si>
  <si>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</si>
  <si>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</si>
  <si>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</si>
  <si>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</si>
  <si>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</si>
  <si>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</si>
  <si>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</si>
  <si>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</si>
  <si>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</si>
  <si>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</si>
  <si>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</si>
  <si>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</si>
  <si>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</si>
  <si>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</si>
  <si>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</si>
  <si>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</si>
  <si>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</si>
  <si>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</si>
  <si>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</si>
  <si>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</si>
  <si>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</si>
  <si>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</si>
  <si>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</si>
  <si>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</si>
  <si>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</si>
  <si>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</si>
  <si>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</si>
  <si>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</si>
  <si>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</si>
  <si>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</si>
  <si>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</si>
  <si>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</si>
  <si>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</si>
  <si>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</si>
  <si>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</si>
  <si>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</si>
  <si>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</si>
  <si>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</si>
  <si>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</si>
  <si>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</si>
  <si>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</si>
  <si>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</si>
  <si>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</si>
  <si>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</si>
  <si>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</si>
  <si>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</si>
  <si>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</si>
  <si>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</si>
  <si>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</si>
  <si>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</si>
  <si>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</si>
  <si>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</si>
  <si>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</si>
  <si>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</si>
  <si>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</si>
  <si>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</si>
  <si>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</si>
  <si>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</si>
  <si>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</si>
  <si>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</si>
  <si>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</si>
  <si>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</si>
  <si>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</si>
  <si>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</si>
  <si>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</si>
  <si>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</si>
  <si>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</si>
  <si>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</si>
  <si>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</si>
  <si>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</si>
  <si>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</si>
  <si>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</si>
  <si>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</si>
  <si>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</si>
  <si>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</si>
  <si>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</si>
  <si>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</si>
  <si>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</si>
  <si>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</si>
  <si>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</si>
  <si>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</si>
  <si>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</si>
  <si>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</si>
  <si>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</si>
  <si>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</si>
  <si>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</si>
  <si>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</si>
  <si>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</si>
  <si>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</si>
  <si>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</si>
  <si>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</si>
  <si>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</si>
  <si>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</si>
  <si>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</si>
  <si>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</si>
  <si>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</si>
  <si>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</si>
  <si>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</si>
  <si>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</si>
  <si>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</si>
  <si>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</si>
  <si>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</si>
  <si>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</si>
  <si>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</si>
  <si>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</si>
  <si>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</si>
  <si>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</si>
  <si>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</si>
  <si>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</si>
  <si>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</si>
  <si>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</si>
  <si>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</si>
  <si>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</si>
  <si>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</si>
  <si>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</si>
  <si>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</si>
  <si>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</si>
  <si>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</si>
  <si>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</si>
  <si>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</si>
  <si>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</si>
  <si>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</si>
  <si>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</si>
  <si>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</si>
  <si>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</si>
  <si>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</si>
  <si>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</si>
  <si>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</si>
  <si>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</si>
  <si>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</si>
  <si>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</si>
  <si>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</si>
  <si>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</si>
  <si>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</si>
  <si>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</si>
  <si>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</si>
  <si>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</si>
  <si>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</si>
  <si>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</si>
  <si>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</si>
  <si>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</si>
  <si>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</si>
  <si>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</si>
  <si>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</si>
  <si>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</si>
  <si>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</si>
  <si>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</si>
  <si>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</si>
  <si>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</si>
  <si>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</si>
  <si>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</si>
  <si>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</si>
  <si>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</si>
  <si>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</si>
  <si>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</si>
  <si>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</si>
  <si>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</si>
  <si>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</si>
  <si>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</si>
  <si>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</si>
  <si>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</si>
  <si>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</si>
  <si>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</si>
  <si>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</si>
  <si>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</si>
  <si>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</si>
  <si>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</si>
  <si>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</si>
  <si>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</si>
  <si>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</si>
  <si>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</si>
  <si>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</si>
  <si>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</si>
  <si>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</si>
  <si>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</si>
  <si>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</si>
  <si>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</si>
  <si>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</si>
  <si>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</si>
  <si>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</si>
  <si>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</si>
  <si>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</si>
  <si>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</si>
  <si>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</si>
  <si>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</si>
  <si>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</si>
  <si>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</si>
  <si>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</si>
  <si>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</si>
  <si>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</si>
  <si>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</si>
  <si>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</si>
  <si>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</si>
  <si>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</si>
  <si>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</si>
  <si>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</si>
  <si>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</si>
  <si>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</si>
  <si>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</si>
  <si>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</si>
  <si>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</si>
  <si>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</si>
  <si>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</si>
  <si>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</si>
  <si>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</si>
  <si>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</si>
  <si>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</si>
  <si>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</si>
  <si>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</si>
  <si>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</si>
  <si>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</si>
  <si>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</si>
  <si>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</si>
  <si>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</si>
  <si>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</si>
  <si>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</si>
  <si>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</si>
  <si>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</si>
  <si>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</si>
  <si>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</si>
  <si>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</si>
  <si>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</si>
  <si>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</si>
  <si>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</si>
  <si>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</si>
  <si>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</si>
  <si>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</si>
  <si>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</si>
  <si>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</si>
  <si>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</si>
  <si>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</si>
  <si>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</si>
  <si>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</si>
  <si>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</si>
  <si>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</si>
  <si>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</si>
  <si>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</si>
  <si>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</si>
  <si>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</si>
  <si>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</si>
  <si>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</si>
  <si>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</si>
  <si>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</si>
  <si>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</si>
  <si>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</si>
  <si>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</si>
  <si>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</si>
  <si>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</si>
  <si>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</si>
  <si>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</si>
  <si>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</si>
  <si>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</si>
  <si>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</si>
  <si>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</si>
  <si>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</si>
  <si>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</si>
  <si>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</si>
  <si>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</si>
  <si>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</si>
  <si>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</si>
  <si>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</si>
  <si>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</si>
  <si>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</si>
  <si>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</si>
  <si>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</si>
  <si>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</si>
  <si>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</si>
  <si>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</si>
  <si>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</si>
  <si>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</si>
  <si>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</si>
  <si>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</si>
  <si>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</si>
  <si>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</si>
  <si>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</si>
  <si>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</si>
  <si>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</si>
  <si>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</si>
  <si>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</si>
  <si>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</si>
  <si>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</si>
  <si>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</si>
  <si>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</si>
  <si>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</si>
  <si>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</si>
  <si>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</si>
  <si>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</si>
  <si>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</si>
  <si>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</si>
  <si>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</si>
  <si>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</si>
  <si>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</si>
  <si>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</si>
  <si>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</si>
  <si>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</si>
  <si>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</si>
  <si>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</si>
  <si>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</si>
  <si>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</si>
  <si>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</si>
  <si>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</si>
  <si>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</si>
  <si>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</si>
  <si>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</si>
  <si>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</si>
  <si>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</si>
  <si>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</si>
  <si>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</si>
  <si>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</si>
  <si>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</si>
  <si>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</si>
  <si>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</si>
  <si>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</si>
  <si>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</si>
  <si>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</si>
  <si>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</si>
  <si>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</si>
  <si>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</si>
  <si>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</si>
  <si>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</si>
  <si>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</si>
  <si>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</si>
  <si>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</si>
  <si>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</si>
  <si>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</si>
  <si>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</si>
  <si>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</si>
  <si>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</si>
  <si>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</si>
  <si>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</si>
  <si>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</si>
  <si>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</si>
  <si>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</si>
  <si>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</si>
  <si>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</si>
  <si>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</si>
  <si>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</si>
  <si>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</si>
  <si>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</si>
  <si>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</si>
  <si>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</si>
  <si>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</si>
  <si>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</si>
  <si>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</si>
  <si>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</si>
  <si>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</si>
  <si>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</si>
  <si>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</si>
  <si>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</si>
  <si>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</si>
  <si>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</si>
  <si>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</si>
  <si>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</si>
  <si>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</si>
  <si>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</si>
  <si>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</si>
  <si>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</si>
  <si>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</si>
  <si>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</si>
  <si>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</si>
  <si>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</si>
  <si>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</si>
  <si>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</si>
  <si>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</si>
  <si>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</si>
  <si>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</si>
  <si>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</si>
  <si>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</si>
  <si>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</si>
  <si>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</si>
  <si>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</si>
  <si>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</si>
  <si>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</si>
  <si>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</si>
  <si>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</si>
  <si>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</si>
  <si>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</si>
  <si>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</si>
  <si>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</si>
  <si>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</si>
  <si>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</si>
  <si>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</si>
  <si>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</si>
  <si>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</si>
  <si>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</si>
  <si>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</si>
  <si>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</si>
  <si>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</si>
  <si>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</si>
  <si>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</si>
  <si>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</si>
  <si>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</si>
  <si>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</si>
  <si>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</si>
  <si>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</si>
  <si>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</si>
  <si>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</si>
  <si>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</si>
  <si>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</si>
  <si>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</si>
  <si>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</si>
  <si>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</si>
  <si>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</si>
  <si>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</si>
  <si>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</si>
  <si>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</si>
  <si>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</si>
  <si>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</si>
  <si>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</si>
  <si>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</si>
  <si>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</si>
  <si>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</si>
  <si>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</si>
  <si>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</si>
  <si>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</si>
  <si>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</si>
  <si>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</si>
  <si>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</si>
  <si>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</si>
  <si>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</si>
  <si>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</si>
  <si>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</si>
  <si>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</si>
  <si>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</si>
  <si>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</si>
  <si>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</si>
  <si>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</si>
  <si>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</si>
  <si>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</si>
  <si>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</si>
  <si>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</si>
  <si>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</si>
  <si>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</si>
  <si>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</si>
  <si>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</si>
  <si>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</si>
  <si>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</si>
  <si>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</si>
  <si>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</si>
  <si>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</si>
  <si>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</si>
  <si>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</si>
  <si>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</si>
  <si>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</si>
  <si>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</si>
  <si>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</si>
  <si>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</si>
  <si>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</si>
  <si>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</si>
  <si>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</si>
  <si>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</si>
  <si>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</si>
  <si>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</si>
  <si>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</si>
  <si>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</si>
  <si>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</si>
  <si>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</si>
  <si>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</si>
  <si>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</si>
  <si>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</si>
  <si>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</si>
  <si>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</si>
  <si>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</si>
  <si>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</si>
  <si>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</si>
  <si>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</si>
  <si>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</si>
  <si>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</si>
  <si>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</si>
  <si>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</si>
  <si>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</si>
  <si>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</si>
  <si>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</si>
  <si>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</si>
  <si>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</si>
  <si>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</si>
  <si>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</si>
  <si>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</si>
  <si>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</si>
  <si>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</si>
  <si>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</si>
  <si>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</si>
  <si>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</si>
  <si>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</si>
  <si>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</si>
  <si>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</si>
  <si>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</si>
  <si>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</si>
  <si>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</si>
  <si>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</si>
  <si>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</si>
  <si>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</si>
  <si>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</si>
  <si>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</si>
  <si>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</si>
  <si>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</si>
  <si>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</si>
  <si>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</si>
  <si>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</si>
  <si>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</si>
  <si>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</si>
  <si>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</si>
  <si>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</si>
  <si>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</si>
  <si>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</si>
  <si>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</si>
  <si>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</si>
  <si>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</si>
  <si>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</si>
  <si>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</si>
  <si>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</si>
  <si>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</si>
  <si>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</si>
  <si>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</si>
  <si>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</si>
  <si>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</si>
  <si>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</si>
  <si>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</si>
  <si>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</si>
  <si>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</si>
  <si>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</si>
  <si>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</si>
  <si>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</si>
  <si>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</si>
  <si>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</si>
  <si>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</si>
  <si>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</si>
  <si>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</si>
  <si>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</si>
  <si>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</si>
  <si>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</si>
  <si>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</si>
  <si>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</si>
  <si>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</si>
  <si>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</si>
  <si>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</si>
  <si>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</si>
  <si>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</si>
  <si>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</si>
  <si>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</si>
  <si>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</si>
  <si>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</si>
  <si>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</si>
  <si>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</si>
  <si>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</si>
  <si>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</si>
  <si>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</si>
  <si>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</si>
  <si>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</si>
  <si>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</si>
  <si>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</si>
  <si>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</si>
  <si>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</si>
  <si>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</si>
  <si>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</si>
  <si>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</si>
  <si>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</si>
  <si>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</si>
  <si>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</si>
  <si>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</si>
  <si>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</si>
  <si>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</si>
  <si>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</si>
  <si>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</si>
  <si>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</si>
  <si>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</si>
  <si>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</si>
  <si>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</si>
  <si>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</si>
  <si>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</si>
  <si>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</si>
  <si>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</si>
  <si>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</si>
  <si>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</si>
  <si>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</si>
  <si>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</si>
  <si>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</si>
  <si>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</si>
  <si>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</si>
  <si>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</si>
  <si>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</si>
  <si>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</si>
  <si>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</si>
  <si>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</si>
  <si>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</si>
  <si>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</si>
  <si>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</si>
  <si>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</si>
  <si>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</si>
  <si>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</si>
  <si>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</si>
  <si>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</si>
  <si>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</si>
  <si>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</si>
  <si>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</si>
  <si>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</si>
  <si>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</si>
  <si>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</si>
  <si>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</si>
  <si>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</si>
  <si>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</si>
  <si>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</si>
  <si>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</si>
  <si>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</si>
  <si>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</si>
  <si>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</si>
  <si>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</si>
  <si>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</si>
  <si>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</si>
  <si>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</si>
  <si>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</si>
  <si>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</si>
  <si>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</si>
  <si>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</si>
  <si>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</si>
  <si>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</si>
  <si>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</si>
  <si>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</si>
  <si>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</si>
  <si>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</si>
  <si>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</si>
  <si>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</si>
  <si>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</si>
  <si>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</si>
  <si>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</si>
  <si>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</si>
  <si>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</si>
  <si>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</si>
  <si>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</si>
  <si>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</si>
  <si>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</si>
  <si>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</si>
  <si>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</si>
  <si>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</si>
  <si>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</si>
  <si>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</si>
  <si>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</si>
  <si>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</si>
  <si>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</si>
  <si>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</si>
  <si>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</si>
  <si>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</si>
  <si>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</si>
  <si>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</si>
  <si>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</si>
  <si>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</si>
  <si>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</si>
  <si>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</si>
  <si>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</si>
  <si>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</si>
  <si>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</si>
  <si>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</si>
  <si>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</si>
  <si>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</si>
  <si>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</si>
  <si>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</si>
  <si>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</si>
  <si>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</si>
  <si>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</si>
  <si>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</si>
  <si>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</si>
  <si>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</si>
  <si>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</si>
  <si>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</si>
  <si>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</si>
  <si>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</si>
  <si>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</si>
  <si>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</si>
  <si>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</si>
  <si>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</si>
  <si>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</si>
  <si>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</si>
  <si>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</si>
  <si>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</si>
  <si>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</si>
  <si>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</si>
  <si>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</si>
  <si>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</si>
  <si>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</si>
  <si>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</si>
  <si>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</si>
  <si>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</si>
  <si>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</si>
  <si>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</si>
  <si>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</si>
  <si>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</si>
  <si>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</si>
  <si>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</si>
  <si>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</si>
  <si>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</si>
  <si>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</si>
  <si>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</si>
  <si>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</si>
  <si>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</si>
  <si>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</si>
  <si>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</si>
  <si>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</si>
  <si>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</si>
  <si>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</si>
  <si>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</si>
  <si>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</si>
  <si>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</si>
  <si>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</si>
  <si>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</si>
  <si>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</si>
  <si>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</si>
  <si>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</si>
  <si>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</si>
  <si>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</si>
  <si>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</si>
  <si>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</si>
  <si>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</si>
  <si>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</si>
  <si>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</si>
  <si>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</si>
  <si>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</si>
  <si>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</si>
  <si>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</si>
  <si>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</si>
  <si>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</si>
  <si>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</si>
  <si>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</si>
  <si>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</si>
  <si>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</si>
  <si>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</si>
  <si>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</si>
  <si>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</si>
  <si>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</si>
  <si>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</si>
  <si>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</si>
  <si>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</si>
  <si>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</si>
  <si>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</si>
  <si>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</si>
  <si>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</si>
  <si>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</si>
  <si>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</si>
  <si>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</si>
  <si>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</si>
  <si>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</si>
  <si>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</si>
  <si>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</si>
  <si>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</si>
  <si>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</si>
  <si>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</si>
  <si>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</si>
  <si>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</si>
  <si>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</si>
  <si>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</si>
  <si>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</si>
  <si>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</si>
  <si>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</si>
  <si>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</si>
  <si>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</si>
  <si>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</si>
  <si>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</si>
  <si>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</si>
  <si>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</si>
  <si>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</si>
  <si>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</si>
  <si>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</si>
  <si>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</si>
  <si>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</si>
  <si>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</si>
  <si>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</si>
  <si>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</si>
  <si>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</si>
  <si>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</si>
  <si>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</si>
  <si>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</si>
  <si>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</si>
  <si>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</si>
  <si>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</si>
  <si>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</si>
  <si>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</si>
  <si>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</si>
  <si>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</si>
  <si>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</si>
  <si>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</si>
  <si>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</si>
  <si>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</si>
  <si>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</si>
  <si>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</si>
  <si>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</si>
  <si>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</si>
  <si>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</si>
  <si>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</si>
  <si>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</si>
  <si>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</si>
  <si>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</si>
  <si>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</si>
  <si>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</si>
  <si>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</si>
  <si>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</si>
  <si>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</si>
  <si>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</si>
  <si>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</si>
  <si>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</si>
  <si>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</si>
  <si>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</si>
  <si>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</si>
  <si>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</si>
  <si>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</si>
  <si>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</si>
  <si>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</si>
  <si>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</si>
  <si>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</si>
  <si>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</si>
  <si>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</si>
  <si>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</si>
  <si>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</si>
  <si>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</si>
  <si>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</si>
  <si>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</si>
  <si>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</si>
  <si>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</si>
  <si>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</si>
  <si>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</si>
  <si>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</si>
  <si>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</si>
  <si>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</si>
  <si>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</si>
  <si>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</si>
  <si>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</si>
  <si>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</si>
  <si>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</si>
  <si>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</si>
  <si>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</si>
  <si>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</si>
  <si>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</si>
  <si>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</si>
  <si>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</si>
  <si>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</si>
  <si>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</si>
  <si>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</si>
  <si>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</si>
  <si>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</si>
  <si>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</si>
  <si>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</si>
  <si>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</si>
  <si>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</si>
  <si>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</si>
  <si>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</si>
  <si>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</si>
  <si>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</si>
  <si>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</si>
  <si>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</si>
  <si>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</si>
  <si>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</si>
  <si>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</si>
  <si>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</si>
  <si>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</si>
  <si>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</si>
  <si>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</si>
  <si>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</si>
  <si>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</si>
  <si>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</si>
  <si>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</si>
  <si>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</si>
  <si>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</si>
  <si>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</si>
  <si>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</si>
  <si>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</si>
  <si>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</si>
  <si>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</si>
  <si>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</si>
  <si>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</si>
  <si>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</si>
  <si>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</si>
  <si>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</si>
  <si>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</si>
  <si>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</si>
  <si>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</si>
  <si>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</si>
  <si>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</si>
  <si>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</si>
  <si>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</si>
  <si>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</si>
  <si>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</si>
  <si>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</si>
  <si>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</si>
  <si>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</si>
  <si>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</si>
  <si>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</si>
  <si>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</si>
  <si>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</si>
  <si>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</si>
  <si>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</si>
  <si>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</si>
  <si>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</si>
  <si>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</si>
  <si>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</si>
  <si>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</si>
  <si>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</si>
  <si>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</si>
  <si>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</si>
  <si>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</si>
  <si>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</si>
  <si>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</si>
  <si>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</si>
  <si>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</si>
  <si>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</si>
  <si>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</si>
  <si>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</si>
  <si>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</si>
  <si>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</si>
  <si>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</si>
  <si>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</si>
  <si>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</si>
  <si>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</si>
  <si>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</si>
  <si>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</si>
  <si>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</si>
  <si>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</si>
  <si>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</si>
  <si>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</si>
  <si>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</si>
  <si>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</si>
  <si>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</si>
  <si>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</si>
  <si>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</si>
  <si>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</si>
  <si>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</si>
  <si>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</si>
  <si>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</si>
  <si>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</si>
  <si>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</si>
  <si>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</si>
  <si>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</si>
  <si>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</si>
  <si>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</si>
  <si>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</si>
  <si>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</si>
  <si>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</si>
  <si>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</si>
  <si>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</si>
  <si>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</si>
  <si>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</si>
  <si>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</si>
  <si>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</si>
  <si>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</si>
  <si>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</si>
  <si>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</si>
  <si>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</si>
  <si>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</si>
  <si>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</si>
  <si>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</si>
  <si>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</si>
  <si>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</si>
  <si>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</si>
  <si>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</si>
  <si>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</si>
  <si>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</si>
  <si>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</si>
  <si>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</si>
  <si>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</si>
  <si>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</si>
  <si>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</si>
  <si>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</si>
  <si>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</si>
  <si>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</si>
  <si>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</si>
  <si>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</si>
  <si>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</si>
  <si>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</si>
  <si>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</si>
  <si>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</si>
  <si>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</si>
  <si>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</si>
  <si>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</si>
  <si>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</si>
  <si>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</si>
  <si>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</si>
  <si>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</si>
  <si>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</si>
  <si>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</si>
  <si>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</si>
  <si>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</si>
  <si>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</si>
  <si>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</si>
  <si>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</si>
  <si>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</si>
  <si>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</si>
  <si>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</si>
  <si>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</si>
  <si>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</si>
  <si>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</si>
  <si>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</si>
  <si>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</si>
  <si>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</si>
  <si>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</si>
  <si>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</si>
  <si>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</si>
  <si>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</si>
  <si>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</si>
  <si>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</si>
  <si>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</si>
  <si>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</si>
  <si>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</si>
  <si>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</si>
  <si>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</si>
  <si>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</si>
  <si>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</si>
  <si>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</si>
  <si>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</si>
  <si>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</si>
  <si>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</si>
  <si>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</si>
  <si>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</si>
  <si>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</si>
  <si>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</si>
  <si>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</si>
  <si>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</si>
  <si>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</si>
  <si>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</si>
  <si>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</si>
  <si>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</si>
  <si>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</si>
  <si>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</si>
  <si>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</si>
  <si>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</si>
  <si>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</si>
  <si>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</si>
  <si>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</si>
  <si>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</si>
  <si>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</si>
  <si>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</si>
  <si>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</si>
  <si>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</si>
  <si>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</si>
  <si>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</si>
  <si>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</si>
  <si>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</si>
  <si>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</si>
  <si>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</si>
  <si>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</si>
  <si>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</si>
  <si>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</si>
  <si>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</si>
  <si>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</si>
  <si>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</si>
  <si>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</si>
  <si>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</si>
  <si>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</si>
  <si>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</si>
  <si>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</si>
  <si>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</si>
  <si>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</si>
  <si>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</si>
  <si>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</si>
  <si>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</si>
  <si>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</si>
  <si>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</si>
  <si>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</si>
  <si>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</si>
  <si>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</si>
  <si>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</si>
  <si>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</si>
  <si>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</si>
  <si>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</si>
  <si>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</si>
  <si>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</si>
  <si>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</si>
  <si>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</si>
  <si>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</si>
  <si>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</si>
  <si>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</si>
  <si>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</si>
  <si>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</si>
  <si>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</si>
  <si>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</si>
  <si>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</si>
  <si>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</si>
  <si>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</si>
  <si>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</si>
  <si>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</si>
  <si>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</si>
  <si>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</si>
  <si>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</si>
  <si>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</si>
  <si>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</si>
  <si>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</si>
  <si>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</si>
  <si>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</si>
  <si>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</si>
  <si>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</si>
  <si>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</si>
  <si>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</si>
  <si>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</si>
  <si>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</si>
  <si>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</si>
  <si>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</si>
  <si>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</si>
  <si>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</si>
  <si>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</si>
  <si>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</si>
  <si>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</si>
  <si>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</si>
  <si>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</si>
  <si>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</si>
  <si>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</si>
  <si>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</si>
  <si>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</si>
  <si>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</si>
  <si>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</si>
  <si>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</si>
  <si>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</si>
  <si>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</si>
  <si>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</si>
  <si>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</si>
  <si>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</si>
  <si>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</si>
  <si>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</si>
  <si>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</si>
  <si>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</si>
  <si>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</si>
  <si>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</si>
  <si>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</si>
  <si>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</si>
  <si>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</si>
  <si>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</si>
  <si>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</si>
  <si>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</si>
  <si>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</si>
  <si>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</si>
  <si>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</si>
  <si>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</si>
  <si>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</si>
  <si>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</si>
  <si>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</si>
  <si>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</si>
  <si>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</si>
  <si>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</si>
  <si>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</si>
  <si>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</si>
  <si>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</si>
  <si>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</si>
  <si>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</si>
  <si>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</si>
  <si>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</si>
  <si>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</si>
  <si>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</si>
  <si>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</si>
  <si>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</si>
  <si>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</si>
  <si>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</si>
  <si>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</si>
  <si>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</si>
  <si>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</si>
  <si>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</si>
  <si>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</si>
  <si>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</si>
  <si>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</si>
  <si>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</si>
  <si>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</si>
  <si>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</si>
  <si>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</si>
  <si>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</si>
  <si>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</si>
  <si>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</si>
  <si>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</si>
  <si>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</si>
  <si>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</si>
  <si>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</si>
  <si>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</si>
  <si>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</si>
  <si>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</si>
  <si>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</si>
  <si>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</si>
  <si>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</si>
  <si>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</si>
  <si>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</si>
  <si>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</si>
  <si>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</si>
  <si>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</si>
  <si>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</si>
  <si>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</si>
  <si>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</si>
  <si>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</si>
  <si>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</si>
  <si>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</si>
  <si>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</si>
  <si>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</si>
  <si>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</si>
  <si>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</si>
  <si>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</si>
  <si>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</si>
  <si>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</si>
  <si>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</si>
  <si>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</si>
  <si>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</si>
  <si>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</si>
  <si>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</si>
  <si>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</si>
  <si>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</si>
  <si>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</si>
  <si>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</si>
  <si>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</si>
  <si>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</si>
  <si>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</si>
  <si>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</si>
  <si>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</si>
  <si>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</si>
  <si>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</si>
  <si>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</si>
  <si>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</si>
  <si>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</si>
  <si>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</si>
  <si>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</si>
  <si>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</si>
  <si>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</si>
  <si>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</si>
  <si>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</si>
  <si>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</si>
  <si>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</si>
  <si>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</si>
  <si>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</si>
  <si>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</si>
  <si>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</si>
  <si>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</si>
  <si>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</si>
  <si>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</si>
  <si>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</si>
  <si>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</si>
  <si>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</si>
  <si>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</si>
  <si>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</si>
  <si>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</si>
  <si>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</si>
  <si>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</si>
  <si>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</si>
  <si>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</si>
  <si>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</si>
  <si>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</si>
  <si>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</si>
  <si>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</si>
  <si>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</si>
  <si>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</si>
  <si>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</si>
  <si>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</si>
  <si>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</si>
  <si>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</si>
  <si>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</si>
  <si>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</si>
  <si>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</si>
  <si>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</si>
  <si>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</si>
  <si>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</si>
  <si>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</si>
  <si>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</si>
  <si>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</si>
  <si>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</si>
  <si>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</si>
  <si>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</si>
  <si>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</si>
  <si>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</si>
  <si>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</si>
  <si>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</si>
  <si>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</si>
  <si>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</si>
  <si>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</si>
  <si>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</si>
  <si>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</si>
  <si>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</si>
  <si>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</si>
  <si>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</si>
  <si>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</si>
  <si>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</si>
  <si>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</si>
  <si>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</si>
  <si>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</si>
  <si>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</si>
  <si>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</si>
  <si>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</si>
  <si>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</si>
  <si>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</si>
  <si>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</si>
  <si>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</si>
  <si>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</si>
  <si>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</si>
  <si>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</si>
  <si>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</si>
  <si>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</si>
  <si>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</si>
  <si>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</si>
  <si>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</si>
  <si>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</si>
  <si>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</si>
  <si>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</si>
  <si>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</si>
  <si>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</si>
  <si>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</si>
  <si>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</si>
  <si>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</si>
  <si>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</si>
  <si>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</si>
  <si>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</si>
  <si>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</si>
  <si>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</si>
  <si>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</si>
  <si>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</si>
  <si>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</si>
  <si>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</si>
  <si>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</si>
  <si>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</si>
  <si>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</si>
  <si>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</si>
  <si>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</si>
  <si>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</si>
  <si>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</si>
  <si>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</si>
  <si>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</si>
  <si>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</si>
  <si>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</si>
  <si>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</si>
  <si>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</si>
  <si>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</si>
  <si>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</si>
  <si>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</si>
  <si>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</si>
  <si>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</si>
  <si>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</si>
  <si>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</si>
  <si>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</si>
  <si>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</si>
  <si>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</si>
  <si>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</si>
  <si>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</si>
  <si>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</si>
  <si>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</si>
  <si>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</si>
  <si>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</si>
  <si>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</si>
  <si>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</si>
  <si>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</si>
  <si>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</si>
  <si>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</si>
  <si>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</si>
  <si>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</si>
  <si>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</si>
  <si>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</si>
  <si>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</si>
  <si>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</si>
  <si>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</si>
  <si>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</si>
  <si>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</si>
  <si>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</si>
  <si>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</si>
  <si>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</si>
  <si>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</si>
  <si>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</si>
  <si>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</si>
  <si>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</si>
  <si>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</si>
  <si>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</si>
  <si>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</si>
  <si>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</si>
  <si>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</si>
  <si>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</si>
  <si>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</si>
  <si>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</si>
  <si>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</si>
  <si>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</si>
  <si>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</si>
  <si>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</si>
  <si>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</si>
  <si>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</si>
  <si>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</si>
  <si>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</si>
  <si>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</si>
  <si>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</si>
  <si>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</si>
  <si>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</si>
  <si>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</si>
  <si>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</si>
  <si>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</si>
  <si>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</si>
  <si>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</si>
  <si>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</si>
  <si>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</si>
  <si>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</si>
  <si>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</si>
  <si>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</si>
  <si>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</si>
  <si>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</si>
  <si>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</si>
  <si>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</si>
  <si>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</si>
  <si>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</si>
  <si>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</si>
  <si>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</si>
  <si>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</si>
  <si>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</si>
  <si>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</si>
  <si>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</si>
  <si>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</si>
  <si>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</si>
  <si>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</si>
  <si>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</si>
  <si>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</si>
  <si>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</si>
  <si>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</si>
  <si>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</si>
  <si>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</si>
  <si>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</si>
  <si>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</si>
  <si>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</si>
  <si>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</si>
  <si>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</si>
  <si>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</si>
  <si>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</si>
  <si>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</si>
  <si>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</si>
  <si>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</si>
  <si>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</si>
  <si>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</si>
  <si>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</si>
  <si>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</si>
  <si>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</si>
  <si>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</si>
  <si>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</si>
  <si>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</si>
  <si>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</si>
  <si>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</si>
  <si>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</si>
  <si>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</si>
  <si>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</si>
  <si>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</si>
  <si>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</si>
  <si>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</si>
  <si>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</si>
  <si>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</si>
  <si>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</si>
  <si>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</si>
  <si>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</si>
  <si>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</si>
  <si>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</si>
  <si>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</si>
  <si>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</si>
  <si>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</si>
  <si>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</si>
  <si>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</si>
  <si>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</si>
  <si>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</si>
  <si>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</si>
  <si>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</si>
  <si>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</si>
  <si>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</si>
  <si>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</si>
  <si>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</si>
  <si>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</si>
  <si>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</si>
  <si>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</si>
  <si>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</si>
  <si>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</si>
  <si>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</si>
  <si>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</si>
  <si>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</si>
  <si>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</si>
  <si>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</si>
  <si>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</si>
  <si>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</si>
  <si>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</si>
  <si>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</si>
  <si>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</si>
  <si>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</si>
  <si>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</si>
  <si>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</si>
  <si>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</si>
  <si>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</si>
  <si>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</si>
  <si>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</si>
  <si>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</si>
  <si>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</si>
  <si>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</si>
  <si>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</si>
  <si>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</si>
  <si>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</si>
  <si>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</si>
  <si>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</si>
  <si>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</si>
  <si>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</si>
  <si>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</si>
  <si>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</si>
  <si>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</si>
  <si>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</si>
  <si>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</si>
  <si>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</si>
  <si>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</si>
  <si>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</si>
  <si>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</si>
  <si>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</si>
  <si>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</si>
  <si>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</si>
  <si>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</si>
  <si>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</si>
  <si>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</si>
  <si>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</si>
  <si>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</si>
  <si>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</si>
  <si>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</si>
  <si>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</si>
  <si>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</si>
  <si>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</si>
  <si>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</si>
  <si>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</si>
  <si>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</si>
  <si>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</si>
  <si>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</si>
  <si>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</si>
  <si>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</si>
  <si>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</si>
  <si>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</si>
  <si>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</si>
  <si>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</si>
  <si>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</si>
  <si>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</si>
  <si>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</si>
  <si>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</si>
  <si>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</si>
  <si>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</si>
  <si>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</si>
  <si>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</si>
  <si>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</si>
  <si>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</si>
  <si>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</si>
  <si>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</si>
  <si>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</si>
  <si>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</si>
  <si>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</si>
  <si>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</si>
  <si>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</si>
  <si>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</si>
  <si>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</si>
  <si>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</si>
  <si>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</si>
  <si>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</si>
  <si>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</si>
  <si>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</si>
  <si>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</si>
  <si>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</si>
  <si>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</si>
  <si>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</si>
  <si>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</si>
  <si>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</si>
  <si>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</si>
  <si>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</si>
  <si>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</si>
  <si>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</si>
  <si>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</si>
  <si>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</si>
  <si>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</si>
  <si>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</si>
  <si>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</si>
  <si>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</si>
  <si>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</si>
  <si>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</si>
  <si>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</si>
  <si>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</si>
  <si>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</si>
  <si>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</si>
  <si>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</si>
  <si>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</si>
  <si>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</si>
  <si>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</si>
  <si>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</si>
  <si>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</si>
  <si>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</si>
  <si>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</si>
  <si>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</si>
  <si>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</si>
  <si>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</si>
  <si>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</si>
  <si>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</si>
  <si>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</si>
  <si>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</si>
  <si>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</si>
  <si>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</si>
  <si>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</si>
  <si>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</si>
  <si>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</si>
  <si>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</si>
  <si>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</si>
  <si>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</si>
  <si>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</si>
  <si>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</si>
  <si>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</si>
  <si>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</si>
  <si>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</si>
  <si>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</si>
  <si>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</si>
  <si>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</si>
  <si>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</si>
  <si>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</si>
  <si>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</si>
  <si>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</si>
  <si>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</si>
  <si>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</si>
  <si>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</si>
  <si>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</si>
  <si>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</si>
  <si>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</si>
  <si>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</si>
  <si>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</si>
  <si>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</si>
  <si>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</si>
  <si>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</si>
  <si>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</si>
  <si>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</si>
  <si>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</si>
  <si>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</si>
  <si>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</si>
  <si>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</si>
  <si>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</si>
  <si>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</si>
  <si>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</si>
  <si>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</si>
  <si>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</si>
  <si>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</si>
  <si>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</si>
  <si>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</si>
  <si>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</si>
  <si>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</si>
  <si>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</si>
  <si>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</si>
  <si>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</si>
  <si>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</si>
  <si>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</si>
  <si>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</si>
  <si>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</si>
  <si>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</si>
  <si>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</si>
  <si>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</si>
  <si>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</si>
  <si>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</si>
  <si>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</si>
  <si>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</si>
  <si>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</si>
  <si>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</si>
  <si>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</si>
  <si>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</si>
  <si>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</si>
  <si>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</si>
  <si>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</si>
  <si>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</si>
  <si>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</si>
  <si>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</si>
  <si>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</si>
  <si>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</si>
  <si>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</si>
  <si>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</si>
  <si>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</si>
  <si>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</si>
  <si>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</si>
  <si>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</si>
  <si>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</si>
  <si>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</si>
  <si>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</si>
  <si>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</si>
  <si>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</si>
  <si>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</si>
  <si>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</si>
  <si>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</si>
  <si>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</si>
  <si>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</si>
  <si>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</si>
  <si>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</si>
  <si>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</si>
  <si>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</si>
  <si>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</si>
  <si>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</si>
  <si>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</si>
  <si>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</si>
  <si>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</si>
  <si>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</si>
  <si>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</si>
  <si>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</si>
  <si>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</si>
  <si>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</si>
  <si>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</si>
  <si>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</si>
  <si>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</si>
  <si>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</si>
  <si>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</si>
  <si>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</si>
  <si>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</si>
  <si>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</si>
  <si>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</si>
  <si>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</si>
  <si>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</si>
  <si>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</si>
  <si>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</si>
  <si>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</si>
  <si>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</si>
  <si>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</si>
  <si>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</si>
  <si>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</si>
  <si>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</si>
  <si>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</si>
  <si>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</si>
  <si>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</si>
  <si>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</si>
  <si>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</si>
  <si>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</si>
  <si>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</si>
  <si>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</si>
  <si>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</si>
  <si>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</si>
  <si>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</si>
  <si>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</si>
  <si>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</si>
  <si>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</si>
  <si>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</si>
  <si>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</si>
  <si>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</si>
  <si>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</si>
  <si>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</si>
  <si>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</si>
  <si>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</si>
  <si>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</si>
  <si>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</si>
  <si>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</si>
  <si>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</si>
  <si>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</si>
  <si>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</si>
  <si>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</si>
  <si>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</si>
  <si>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</si>
  <si>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</si>
  <si>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</si>
  <si>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</si>
  <si>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</si>
  <si>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</si>
  <si>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</si>
  <si>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</si>
  <si>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</si>
  <si>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</si>
  <si>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</si>
  <si>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</si>
  <si>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</si>
  <si>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</si>
  <si>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</si>
  <si>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</si>
  <si>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</si>
  <si>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</si>
  <si>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</si>
  <si>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</si>
  <si>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</si>
  <si>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</si>
  <si>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</si>
  <si>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</si>
  <si>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</si>
  <si>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</si>
  <si>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</si>
  <si>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</si>
  <si>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</si>
  <si>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</si>
  <si>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</si>
  <si>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</si>
  <si>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</si>
  <si>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</si>
  <si>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</si>
  <si>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</si>
  <si>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</si>
  <si>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</si>
  <si>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</si>
  <si>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</si>
  <si>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</si>
  <si>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</si>
  <si>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</si>
  <si>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</si>
  <si>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</si>
  <si>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</si>
  <si>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</si>
  <si>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</si>
  <si>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</si>
  <si>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</si>
  <si>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</si>
  <si>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</si>
  <si>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</si>
  <si>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</si>
  <si>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</si>
  <si>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</si>
  <si>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</si>
  <si>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</si>
  <si>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</si>
  <si>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</si>
  <si>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</si>
  <si>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</si>
  <si>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</si>
  <si>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</si>
  <si>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</si>
  <si>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</si>
  <si>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</si>
  <si>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</si>
  <si>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</si>
  <si>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</si>
  <si>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</si>
  <si>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</si>
  <si>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</si>
  <si>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</si>
  <si>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</si>
  <si>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</si>
  <si>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</si>
  <si>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</si>
  <si>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</si>
  <si>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</si>
  <si>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</si>
  <si>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</si>
  <si>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</si>
  <si>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</si>
  <si>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</si>
  <si>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</si>
  <si>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</si>
  <si>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</si>
  <si>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</si>
  <si>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</si>
  <si>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</si>
  <si>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</si>
  <si>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</si>
  <si>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</si>
  <si>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</si>
  <si>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</si>
  <si>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</si>
  <si>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</si>
  <si>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</si>
  <si>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</si>
  <si>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</si>
  <si>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</si>
  <si>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</si>
  <si>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</si>
  <si>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</si>
  <si>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</si>
  <si>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</si>
  <si>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</si>
  <si>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</si>
  <si>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</si>
  <si>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</si>
  <si>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</si>
  <si>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</si>
  <si>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</si>
  <si>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</si>
  <si>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</si>
  <si>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</si>
  <si>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</si>
  <si>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</si>
  <si>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</si>
  <si>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</si>
  <si>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</si>
  <si>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</si>
  <si>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</si>
  <si>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</si>
  <si>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</si>
  <si>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</si>
  <si>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</si>
  <si>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</si>
  <si>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</si>
  <si>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</si>
  <si>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</si>
  <si>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</si>
  <si>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</si>
  <si>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</si>
  <si>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</si>
  <si>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</si>
  <si>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</si>
  <si>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</si>
  <si>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</si>
  <si>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</si>
  <si>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</si>
  <si>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</si>
  <si>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</si>
  <si>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</si>
  <si>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</si>
  <si>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</si>
  <si>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</si>
  <si>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</si>
  <si>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</si>
  <si>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</si>
  <si>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</si>
  <si>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</si>
  <si>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</si>
  <si>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</si>
  <si>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</si>
  <si>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</si>
  <si>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</si>
  <si>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</si>
  <si>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</si>
  <si>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</si>
  <si>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</si>
  <si>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</si>
  <si>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</si>
  <si>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</si>
  <si>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</si>
  <si>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</si>
  <si>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</si>
  <si>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</si>
  <si>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</si>
  <si>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</si>
  <si>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</si>
  <si>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</si>
  <si>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</si>
  <si>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</si>
  <si>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</si>
  <si>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</si>
  <si>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</si>
  <si>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</si>
  <si>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</si>
  <si>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</si>
  <si>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</si>
  <si>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</si>
  <si>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</si>
  <si>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</si>
  <si>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</si>
  <si>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</si>
  <si>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</si>
  <si>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</si>
  <si>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</si>
  <si>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</si>
  <si>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</si>
  <si>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</si>
  <si>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</si>
  <si>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</si>
  <si>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</si>
  <si>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</si>
  <si>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</si>
  <si>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</si>
  <si>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</si>
  <si>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</si>
  <si>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</si>
  <si>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</si>
  <si>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</si>
  <si>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</si>
  <si>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</si>
  <si>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</si>
  <si>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</si>
  <si>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</si>
  <si>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</si>
  <si>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</si>
  <si>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</si>
  <si>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</si>
  <si>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</si>
  <si>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</si>
  <si>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</si>
  <si>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</si>
  <si>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</si>
  <si>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</si>
  <si>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</si>
  <si>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</si>
  <si>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</si>
  <si>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</si>
  <si>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</si>
  <si>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</si>
  <si>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</si>
  <si>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</si>
  <si>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</si>
  <si>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</si>
  <si>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</si>
  <si>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</si>
  <si>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</si>
  <si>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</si>
  <si>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</si>
  <si>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</si>
  <si>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</si>
  <si>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</si>
  <si>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</si>
  <si>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</si>
  <si>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</si>
  <si>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</si>
  <si>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</si>
  <si>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</si>
  <si>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</si>
  <si>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</si>
  <si>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</si>
  <si>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</si>
  <si>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</si>
  <si>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</si>
  <si>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</si>
  <si>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</si>
  <si>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</si>
  <si>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</si>
  <si>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</si>
  <si>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</si>
  <si>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</si>
  <si>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</si>
  <si>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</si>
  <si>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</si>
  <si>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</si>
  <si>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</si>
  <si>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</si>
  <si>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</si>
  <si>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</si>
  <si>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</si>
  <si>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</si>
  <si>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</si>
  <si>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</si>
  <si>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</si>
  <si>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</si>
  <si>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</si>
  <si>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</si>
  <si>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</si>
  <si>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</si>
  <si>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</si>
  <si>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</si>
  <si>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</si>
  <si>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</si>
  <si>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</si>
  <si>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</si>
  <si>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</si>
  <si>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</si>
  <si>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</si>
  <si>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</si>
  <si>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</si>
  <si>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</si>
  <si>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</si>
  <si>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</si>
  <si>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</si>
  <si>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</si>
  <si>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</si>
  <si>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</si>
  <si>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</si>
  <si>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</si>
  <si>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</si>
  <si>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</si>
  <si>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</si>
  <si>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</si>
  <si>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</si>
  <si>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</si>
  <si>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</si>
  <si>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</si>
  <si>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</si>
  <si>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</si>
  <si>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</si>
  <si>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</si>
  <si>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</si>
  <si>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</si>
  <si>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</si>
  <si>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</si>
  <si>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</si>
  <si>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</si>
  <si>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</si>
  <si>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</si>
  <si>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</si>
  <si>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</si>
  <si>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</si>
  <si>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</si>
  <si>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</si>
  <si>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</si>
  <si>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</si>
  <si>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</si>
  <si>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</si>
  <si>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</si>
  <si>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</si>
  <si>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</si>
  <si>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</si>
  <si>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</si>
  <si>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</si>
  <si>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</si>
  <si>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</si>
  <si>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</si>
  <si>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</si>
  <si>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</si>
  <si>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</si>
  <si>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</si>
  <si>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</si>
  <si>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</si>
  <si>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</si>
  <si>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</si>
  <si>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</si>
  <si>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</si>
  <si>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</si>
  <si>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</si>
  <si>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</si>
  <si>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</si>
  <si>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</si>
  <si>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</si>
  <si>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</si>
  <si>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</si>
  <si>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</si>
  <si>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</si>
  <si>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</si>
  <si>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</si>
  <si>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</si>
  <si>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</si>
  <si>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</si>
  <si>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</si>
  <si>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</si>
  <si>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</si>
  <si>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</si>
  <si>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</si>
  <si>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</si>
  <si>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</si>
  <si>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</si>
  <si>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</si>
  <si>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</si>
  <si>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</si>
  <si>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</si>
  <si>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</si>
  <si>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</si>
  <si>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</si>
  <si>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</si>
  <si>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</si>
  <si>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</si>
  <si>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</si>
  <si>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</si>
  <si>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</si>
  <si>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</si>
  <si>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</si>
  <si>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</si>
  <si>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</si>
  <si>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</si>
  <si>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</si>
  <si>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</si>
  <si>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</si>
  <si>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</si>
  <si>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</si>
  <si>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</si>
  <si>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</si>
  <si>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</si>
  <si>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</si>
  <si>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</si>
  <si>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</si>
  <si>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</si>
  <si>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</si>
  <si>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</si>
  <si>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</si>
  <si>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</si>
  <si>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</si>
  <si>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</si>
  <si>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</si>
  <si>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</si>
  <si>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</si>
  <si>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</si>
  <si>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</si>
  <si>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</si>
  <si>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</si>
  <si>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</si>
  <si>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</si>
  <si>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</si>
  <si>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</si>
  <si>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</si>
  <si>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</si>
  <si>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</si>
  <si>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</si>
  <si>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</si>
  <si>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</si>
  <si>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</si>
  <si>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</si>
  <si>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</si>
  <si>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</si>
  <si>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</si>
  <si>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</si>
  <si>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</si>
  <si>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</si>
  <si>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</si>
  <si>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</si>
  <si>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</si>
  <si>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</si>
  <si>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</si>
  <si>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</si>
  <si>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</si>
  <si>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</si>
  <si>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</si>
  <si>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</si>
  <si>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</si>
  <si>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</si>
  <si>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</si>
  <si>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</si>
  <si>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</si>
  <si>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</si>
  <si>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</si>
  <si>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</si>
  <si>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</si>
  <si>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</si>
  <si>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</si>
  <si>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</si>
  <si>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</si>
  <si>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</si>
  <si>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</si>
  <si>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</si>
  <si>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</si>
  <si>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</si>
  <si>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</si>
  <si>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</si>
  <si>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</si>
  <si>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</si>
  <si>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</si>
  <si>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</si>
  <si>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</si>
  <si>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</si>
  <si>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</si>
  <si>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</si>
  <si>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</si>
  <si>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</si>
  <si>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</si>
  <si>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</si>
  <si>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</si>
  <si>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</si>
  <si>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</si>
  <si>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</si>
  <si>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</si>
  <si>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</si>
  <si>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</si>
  <si>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</si>
  <si>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</si>
  <si>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</si>
  <si>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</si>
  <si>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</si>
  <si>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</si>
  <si>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</si>
  <si>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</si>
  <si>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</si>
  <si>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</si>
  <si>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</si>
  <si>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</si>
  <si>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</si>
  <si>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</si>
  <si>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</si>
  <si>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</si>
  <si>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</si>
  <si>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</si>
  <si>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</si>
  <si>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</si>
  <si>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</si>
  <si>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</si>
  <si>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</si>
  <si>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</si>
  <si>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</si>
  <si>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</si>
  <si>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</si>
  <si>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</si>
  <si>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</si>
  <si>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</si>
  <si>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</si>
  <si>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</si>
  <si>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</si>
  <si>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</si>
  <si>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</si>
  <si>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</si>
  <si>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</si>
  <si>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</si>
  <si>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</si>
  <si>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</si>
  <si>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</si>
  <si>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</si>
  <si>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</si>
  <si>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</si>
  <si>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</si>
  <si>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</si>
  <si>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</si>
  <si>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</si>
  <si>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</si>
  <si>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</si>
  <si>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</si>
  <si>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</si>
  <si>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</si>
  <si>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</si>
  <si>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</si>
  <si>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</si>
  <si>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</si>
  <si>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</si>
  <si>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</si>
  <si>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</si>
  <si>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</si>
  <si>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</si>
  <si>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</si>
  <si>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</si>
  <si>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</si>
  <si>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</si>
  <si>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</si>
  <si>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</si>
  <si>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</si>
  <si>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</si>
  <si>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</si>
  <si>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</si>
  <si>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</si>
  <si>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</si>
  <si>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</si>
  <si>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</si>
  <si>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</si>
  <si>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</si>
  <si>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</si>
  <si>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</si>
  <si>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</si>
  <si>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</si>
  <si>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</si>
  <si>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</si>
  <si>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</si>
  <si>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</si>
  <si>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</si>
  <si>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</si>
  <si>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</si>
  <si>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</si>
  <si>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</si>
  <si>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</si>
  <si>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</si>
  <si>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</si>
  <si>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</si>
  <si>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</si>
  <si>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</si>
  <si>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</si>
  <si>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</si>
  <si>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</si>
  <si>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</si>
  <si>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</si>
  <si>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</si>
  <si>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</si>
  <si>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</si>
  <si>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</si>
  <si>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</si>
  <si>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</si>
  <si>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</si>
  <si>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</si>
  <si>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</si>
  <si>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</si>
  <si>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</si>
  <si>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</si>
  <si>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</si>
  <si>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</si>
  <si>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</si>
  <si>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</si>
  <si>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</si>
  <si>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</si>
  <si>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</si>
  <si>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</si>
  <si>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</si>
  <si>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</si>
  <si>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</si>
  <si>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</si>
  <si>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</si>
  <si>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</si>
  <si>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</si>
  <si>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</si>
  <si>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</si>
  <si>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</si>
  <si>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</si>
  <si>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</si>
  <si>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</si>
  <si>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</si>
  <si>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</si>
  <si>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</si>
  <si>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</si>
  <si>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</si>
  <si>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</si>
  <si>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</si>
  <si>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</si>
  <si>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</si>
  <si>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</si>
  <si>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</si>
  <si>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</si>
  <si>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</si>
  <si>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</si>
  <si>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</si>
  <si>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</si>
  <si>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</si>
  <si>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</si>
  <si>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</si>
  <si>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</si>
  <si>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</si>
  <si>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</si>
  <si>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</si>
  <si>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</si>
  <si>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</si>
  <si>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</si>
  <si>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</si>
  <si>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</si>
  <si>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</si>
  <si>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</si>
  <si>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</si>
  <si>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</si>
  <si>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</si>
  <si>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</si>
  <si>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</si>
  <si>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</si>
  <si>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</si>
  <si>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</si>
  <si>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</si>
  <si>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</si>
  <si>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</si>
  <si>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</si>
  <si>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</si>
  <si>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</si>
  <si>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</si>
  <si>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</si>
  <si>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</si>
  <si>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</si>
  <si>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</si>
  <si>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</si>
  <si>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</si>
  <si>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</si>
  <si>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</si>
  <si>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</si>
  <si>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</si>
  <si>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</si>
  <si>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</si>
  <si>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</si>
  <si>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</si>
  <si>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</si>
  <si>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</si>
  <si>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</si>
  <si>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</si>
  <si>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</si>
  <si>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</si>
  <si>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</si>
  <si>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</si>
  <si>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</si>
  <si>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</si>
  <si>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</si>
  <si>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</si>
  <si>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</si>
  <si>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</si>
  <si>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</si>
  <si>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</si>
  <si>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</si>
  <si>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</si>
  <si>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</si>
  <si>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</si>
  <si>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</si>
  <si>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</si>
  <si>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</si>
  <si>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</si>
  <si>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</si>
  <si>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</si>
  <si>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</si>
  <si>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</si>
  <si>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</si>
  <si>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</si>
  <si>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</si>
  <si>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</si>
  <si>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</si>
  <si>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</si>
  <si>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</si>
  <si>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</si>
  <si>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</si>
  <si>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</si>
  <si>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</si>
  <si>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</si>
  <si>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</si>
  <si>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</si>
  <si>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</si>
  <si>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</si>
  <si>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</si>
  <si>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</si>
  <si>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</si>
  <si>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</si>
  <si>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</si>
  <si>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</si>
  <si>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</si>
  <si>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</si>
  <si>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</si>
  <si>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</si>
  <si>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</si>
  <si>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</si>
  <si>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</si>
  <si>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</si>
  <si>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</si>
  <si>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</si>
  <si>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</si>
  <si>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</si>
  <si>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</si>
  <si>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</si>
  <si>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</si>
  <si>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</si>
  <si>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</si>
  <si>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</si>
  <si>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</si>
  <si>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</si>
  <si>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</si>
  <si>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</si>
  <si>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</si>
  <si>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</si>
  <si>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</si>
  <si>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</si>
  <si>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</si>
  <si>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</si>
  <si>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</si>
  <si>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</si>
  <si>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</si>
  <si>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</si>
  <si>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</si>
  <si>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</si>
  <si>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</si>
  <si>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</si>
  <si>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</si>
  <si>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</si>
  <si>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</si>
  <si>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</si>
  <si>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</si>
  <si>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</si>
  <si>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</si>
  <si>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</si>
  <si>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</si>
  <si>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</si>
  <si>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</si>
  <si>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</si>
  <si>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</si>
  <si>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</si>
  <si>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</si>
  <si>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</si>
  <si>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</si>
  <si>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</si>
  <si>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</si>
  <si>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</si>
  <si>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</si>
  <si>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</si>
  <si>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</si>
  <si>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</si>
  <si>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</si>
  <si>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</si>
  <si>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</si>
  <si>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</si>
  <si>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</si>
  <si>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</si>
  <si>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</si>
  <si>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</si>
  <si>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</si>
  <si>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</si>
  <si>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</si>
  <si>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</si>
  <si>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</si>
  <si>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</si>
  <si>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</si>
  <si>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</si>
  <si>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</si>
  <si>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</si>
  <si>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</si>
  <si>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</si>
  <si>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</si>
  <si>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</si>
  <si>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</si>
  <si>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</si>
  <si>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</si>
  <si>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</si>
  <si>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</si>
  <si>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</si>
  <si>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</si>
  <si>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</si>
  <si>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</si>
  <si>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</si>
  <si>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</si>
  <si>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</si>
  <si>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</si>
  <si>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</si>
  <si>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</si>
  <si>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</si>
  <si>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</si>
  <si>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</si>
  <si>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</si>
  <si>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</si>
  <si>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</si>
  <si>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</si>
  <si>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</si>
  <si>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</si>
  <si>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</si>
  <si>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</si>
  <si>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</si>
  <si>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</si>
  <si>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</si>
  <si>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</si>
  <si>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</si>
  <si>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</si>
  <si>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</si>
  <si>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</si>
  <si>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</si>
  <si>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</si>
  <si>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</si>
  <si>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</si>
  <si>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</si>
  <si>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</si>
  <si>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</si>
  <si>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</si>
  <si>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</si>
  <si>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</si>
  <si>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</si>
  <si>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</si>
  <si>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</si>
  <si>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</si>
  <si>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</si>
  <si>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</si>
  <si>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</si>
  <si>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</si>
  <si>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</si>
  <si>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</si>
  <si>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</si>
  <si>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</si>
  <si>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</si>
  <si>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</si>
  <si>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</si>
  <si>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</si>
  <si>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</si>
  <si>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</si>
  <si>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</si>
  <si>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</si>
  <si>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</si>
  <si>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</si>
  <si>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</si>
  <si>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</si>
  <si>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</si>
  <si>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</si>
  <si>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</si>
  <si>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</si>
  <si>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</si>
  <si>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</si>
  <si>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</si>
  <si>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</si>
  <si>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</si>
  <si>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</si>
  <si>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</si>
  <si>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</si>
  <si>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</si>
  <si>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</si>
  <si>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</si>
  <si>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</si>
  <si>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</si>
  <si>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</si>
  <si>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</si>
  <si>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</si>
  <si>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</si>
  <si>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</si>
  <si>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</si>
  <si>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</si>
  <si>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</si>
  <si>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</si>
  <si>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</si>
  <si>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</si>
  <si>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</si>
  <si>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</si>
  <si>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</si>
  <si>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</si>
  <si>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</si>
  <si>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</si>
  <si>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</si>
  <si>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</si>
  <si>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</si>
  <si>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</si>
  <si>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</si>
  <si>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</si>
  <si>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</si>
  <si>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</si>
  <si>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</si>
  <si>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</si>
  <si>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</si>
  <si>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</si>
  <si>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</si>
  <si>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</si>
  <si>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</si>
  <si>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</si>
  <si>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</si>
  <si>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</si>
  <si>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</si>
  <si>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</si>
  <si>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</si>
  <si>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</si>
  <si>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</si>
  <si>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</si>
  <si>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</si>
  <si>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</si>
  <si>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</si>
  <si>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</si>
  <si>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</si>
  <si>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</si>
  <si>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</si>
  <si>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</si>
  <si>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</si>
  <si>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</si>
  <si>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</si>
  <si>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</si>
  <si>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</si>
  <si>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</si>
  <si>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</si>
  <si>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</si>
  <si>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</si>
  <si>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</si>
  <si>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</si>
  <si>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</si>
  <si>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</si>
  <si>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</si>
  <si>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</si>
  <si>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</si>
  <si>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</si>
  <si>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</si>
  <si>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</si>
  <si>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</si>
  <si>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</si>
  <si>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</si>
  <si>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</si>
  <si>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</si>
  <si>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</si>
  <si>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</si>
  <si>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</si>
  <si>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</si>
  <si>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</si>
  <si>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</si>
  <si>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</si>
  <si>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</si>
  <si>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</si>
  <si>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</si>
  <si>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</si>
  <si>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</si>
  <si>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</si>
  <si>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</si>
  <si>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</si>
  <si>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</si>
  <si>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</si>
  <si>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</si>
  <si>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</si>
  <si>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</si>
  <si>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</si>
  <si>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</si>
  <si>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</si>
  <si>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</si>
  <si>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</si>
  <si>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</si>
  <si>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</si>
  <si>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</si>
  <si>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</si>
  <si>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</si>
  <si>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</si>
  <si>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</si>
  <si>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</si>
  <si>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</si>
  <si>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</si>
  <si>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</si>
  <si>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</si>
  <si>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</si>
  <si>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</si>
  <si>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</si>
  <si>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</si>
  <si>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</si>
  <si>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</si>
  <si>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</si>
  <si>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</si>
  <si>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</si>
  <si>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</si>
  <si>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</si>
  <si>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</si>
  <si>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</si>
  <si>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</si>
  <si>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</si>
  <si>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</si>
  <si>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</si>
  <si>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</si>
  <si>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</si>
  <si>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</si>
  <si>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</si>
  <si>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</si>
  <si>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</si>
  <si>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</si>
  <si>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</si>
  <si>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</si>
  <si>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</si>
  <si>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</si>
  <si>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</si>
  <si>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</si>
  <si>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</si>
  <si>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</si>
  <si>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</si>
  <si>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</si>
  <si>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</si>
  <si>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</si>
  <si>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</si>
  <si>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</si>
  <si>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</si>
  <si>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</si>
  <si>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</si>
  <si>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</si>
  <si>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</si>
  <si>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</si>
  <si>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</si>
  <si>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</si>
  <si>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</si>
  <si>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</si>
  <si>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</si>
  <si>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</si>
  <si>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</si>
  <si>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</si>
  <si>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</si>
  <si>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</si>
  <si>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</si>
  <si>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</si>
  <si>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</si>
  <si>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</si>
  <si>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</si>
  <si>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</si>
  <si>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</si>
  <si>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</si>
  <si>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</si>
  <si>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</si>
  <si>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</si>
  <si>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</si>
  <si>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</si>
  <si>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</si>
  <si>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</si>
  <si>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</si>
  <si>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</si>
  <si>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</si>
  <si>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</si>
  <si>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</si>
  <si>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</si>
  <si>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</si>
  <si>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</si>
  <si>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</si>
  <si>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</si>
  <si>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</si>
  <si>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</si>
  <si>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</si>
  <si>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</si>
  <si>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</si>
  <si>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</si>
  <si>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</si>
  <si>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</si>
  <si>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</si>
  <si>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</si>
  <si>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</si>
  <si>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</si>
  <si>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</si>
  <si>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</si>
  <si>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</si>
  <si>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</si>
  <si>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</si>
  <si>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</si>
  <si>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</si>
  <si>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</si>
  <si>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</si>
  <si>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</si>
  <si>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</si>
  <si>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</si>
  <si>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</si>
  <si>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</si>
  <si>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</si>
  <si>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</si>
  <si>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</si>
  <si>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</si>
  <si>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</si>
  <si>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</si>
  <si>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</si>
  <si>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</si>
  <si>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</si>
  <si>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</si>
  <si>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</si>
  <si>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</si>
  <si>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</si>
  <si>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</si>
  <si>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</si>
  <si>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</si>
  <si>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</si>
  <si>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</si>
  <si>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</si>
  <si>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</si>
  <si>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</si>
  <si>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</si>
  <si>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</si>
  <si>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</si>
  <si>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</si>
  <si>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</si>
  <si>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</si>
  <si>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</si>
  <si>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</si>
  <si>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</si>
  <si>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</si>
  <si>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</si>
  <si>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</si>
  <si>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</si>
  <si>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</si>
  <si>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</si>
  <si>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</si>
  <si>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</si>
  <si>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</si>
  <si>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</si>
  <si>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</si>
  <si>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</si>
  <si>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</si>
  <si>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</si>
  <si>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</si>
  <si>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</si>
  <si>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</si>
  <si>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</si>
  <si>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</si>
  <si>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</si>
  <si>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</si>
  <si>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</si>
  <si>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</si>
  <si>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</si>
  <si>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</si>
  <si>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</si>
  <si>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</si>
  <si>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</si>
  <si>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</si>
  <si>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</si>
  <si>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</si>
  <si>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</si>
  <si>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</si>
  <si>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</si>
  <si>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</si>
  <si>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</si>
  <si>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</si>
  <si>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</si>
  <si>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</si>
  <si>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</si>
  <si>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</si>
  <si>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</si>
  <si>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</si>
  <si>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</si>
  <si>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</si>
  <si>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</si>
  <si>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</si>
  <si>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</si>
  <si>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</si>
  <si>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</si>
  <si>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</si>
  <si>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</si>
  <si>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</si>
  <si>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</si>
  <si>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</si>
  <si>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</si>
  <si>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</si>
  <si>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</si>
  <si>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</si>
  <si>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</si>
  <si>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</si>
  <si>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</si>
  <si>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</si>
  <si>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</si>
  <si>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</si>
  <si>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</si>
  <si>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</si>
  <si>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</si>
  <si>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</si>
  <si>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</si>
  <si>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</si>
  <si>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</si>
  <si>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</si>
  <si>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</si>
  <si>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</si>
  <si>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</si>
  <si>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</si>
  <si>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</si>
  <si>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</si>
  <si>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</si>
  <si>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</si>
  <si>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</si>
  <si>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</si>
  <si>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</si>
  <si>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</si>
  <si>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</si>
  <si>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</si>
  <si>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</si>
  <si>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</si>
  <si>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</si>
  <si>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</si>
  <si>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</si>
  <si>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</si>
  <si>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</si>
  <si>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</si>
  <si>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</si>
  <si>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</si>
  <si>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</si>
  <si>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</si>
  <si>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</si>
  <si>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</si>
  <si>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</si>
  <si>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</si>
  <si>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</si>
  <si>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</si>
  <si>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</si>
  <si>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</si>
  <si>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</si>
  <si>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</si>
  <si>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</si>
  <si>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</si>
  <si>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</si>
  <si>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</si>
  <si>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</si>
  <si>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</si>
  <si>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</si>
  <si>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</si>
  <si>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</si>
  <si>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</si>
  <si>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</si>
  <si>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</si>
  <si>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</si>
  <si>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</si>
  <si>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</si>
  <si>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</si>
  <si>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</si>
  <si>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</si>
  <si>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</si>
  <si>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</si>
  <si>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</si>
  <si>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</si>
  <si>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</si>
  <si>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</si>
  <si>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</si>
  <si>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</si>
  <si>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</si>
  <si>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</si>
  <si>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</si>
  <si>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</si>
  <si>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</si>
  <si>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</si>
  <si>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</si>
  <si>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</si>
  <si>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</si>
  <si>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</si>
  <si>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</si>
  <si>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</si>
  <si>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</si>
  <si>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</si>
  <si>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</si>
  <si>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</si>
  <si>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</si>
  <si>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</si>
  <si>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</si>
  <si>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</si>
  <si>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</si>
  <si>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</si>
  <si>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</si>
  <si>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</si>
  <si>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</si>
  <si>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</si>
  <si>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</si>
  <si>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</si>
  <si>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</si>
  <si>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</si>
  <si>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</si>
  <si>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</si>
  <si>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</si>
  <si>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</si>
  <si>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</si>
  <si>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</si>
  <si>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</si>
  <si>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</si>
  <si>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</si>
  <si>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</si>
  <si>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</si>
  <si>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</si>
  <si>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</si>
  <si>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</si>
  <si>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</si>
  <si>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</si>
  <si>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</si>
  <si>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</si>
  <si>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</si>
  <si>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</si>
  <si>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</si>
  <si>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</si>
  <si>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</si>
  <si>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</si>
  <si>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</si>
  <si>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</si>
  <si>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</si>
  <si>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</si>
  <si>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</si>
  <si>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</si>
  <si>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</si>
  <si>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</si>
  <si>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</si>
  <si>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</si>
  <si>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</si>
  <si>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</si>
  <si>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</si>
  <si>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</si>
  <si>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</si>
  <si>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</si>
  <si>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</si>
  <si>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</si>
  <si>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</si>
  <si>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</si>
  <si>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</si>
  <si>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</si>
  <si>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</si>
  <si>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</si>
  <si>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</si>
  <si>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</si>
  <si>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</si>
  <si>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</si>
  <si>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</si>
  <si>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</si>
  <si>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</si>
  <si>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</si>
  <si>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</si>
  <si>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</si>
  <si>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</si>
  <si>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</si>
  <si>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</si>
  <si>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</si>
  <si>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</si>
  <si>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</si>
  <si>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</si>
  <si>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</si>
  <si>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</si>
  <si>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</si>
  <si>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</si>
  <si>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</si>
  <si>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</si>
  <si>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</si>
  <si>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</si>
  <si>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</si>
  <si>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</si>
  <si>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</si>
  <si>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</si>
  <si>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</si>
  <si>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</si>
  <si>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</si>
  <si>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</si>
  <si>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</si>
  <si>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</si>
  <si>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</si>
  <si>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</si>
  <si>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</si>
  <si>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</si>
  <si>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</si>
  <si>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</si>
  <si>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</si>
  <si>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</si>
  <si>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</si>
  <si>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</si>
  <si>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</si>
  <si>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</si>
  <si>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</si>
  <si>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</si>
  <si>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</si>
  <si>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</si>
  <si>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</si>
  <si>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</si>
  <si>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</si>
  <si>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</si>
  <si>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</si>
  <si>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</si>
  <si>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</si>
  <si>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</si>
  <si>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</si>
  <si>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</si>
  <si>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</si>
  <si>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</si>
  <si>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</si>
  <si>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</si>
  <si>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</si>
  <si>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</si>
  <si>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</si>
  <si>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</si>
  <si>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</si>
  <si>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</si>
  <si>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</si>
  <si>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</si>
  <si>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</si>
  <si>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</si>
  <si>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</si>
  <si>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</si>
  <si>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</si>
  <si>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</si>
  <si>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</si>
  <si>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</si>
  <si>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</si>
  <si>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</si>
  <si>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</si>
  <si>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</si>
  <si>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</si>
  <si>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</si>
  <si>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</si>
  <si>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</si>
  <si>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</si>
  <si>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</si>
  <si>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</si>
  <si>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</si>
  <si>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</si>
  <si>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</si>
  <si>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</si>
  <si>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</si>
  <si>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</si>
  <si>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</si>
  <si>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</si>
  <si>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</si>
  <si>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</si>
  <si>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</si>
  <si>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</si>
  <si>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</si>
  <si>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</si>
  <si>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</si>
  <si>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</si>
  <si>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</si>
  <si>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</si>
  <si>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</si>
  <si>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</si>
  <si>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</si>
  <si>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</si>
  <si>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</si>
  <si>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</si>
  <si>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</si>
  <si>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</si>
  <si>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</si>
  <si>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</si>
  <si>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</si>
  <si>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</si>
  <si>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</si>
  <si>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</si>
  <si>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</si>
  <si>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</si>
  <si>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</si>
  <si>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</si>
  <si>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</si>
  <si>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</si>
  <si>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</si>
  <si>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</si>
  <si>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</si>
  <si>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</si>
  <si>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</si>
  <si>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</si>
  <si>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</si>
  <si>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</si>
  <si>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</si>
  <si>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</si>
  <si>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</si>
  <si>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</si>
  <si>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</si>
  <si>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</si>
  <si>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</si>
  <si>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</si>
  <si>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</si>
  <si>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</si>
  <si>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</si>
  <si>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</si>
  <si>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</si>
  <si>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</si>
  <si>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</si>
  <si>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</si>
  <si>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</si>
  <si>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</si>
  <si>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</si>
  <si>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</si>
  <si>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</si>
  <si>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</si>
  <si>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</si>
  <si>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</si>
  <si>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</si>
  <si>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</si>
  <si>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</si>
  <si>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</si>
  <si>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</si>
  <si>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</si>
  <si>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</si>
  <si>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</si>
  <si>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</si>
  <si>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</si>
  <si>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</si>
  <si>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</si>
  <si>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</si>
  <si>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</si>
  <si>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</si>
  <si>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</si>
  <si>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</si>
  <si>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</si>
  <si>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</si>
  <si>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</si>
  <si>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</si>
  <si>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</si>
  <si>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</si>
  <si>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</si>
  <si>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</si>
  <si>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</si>
  <si>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</si>
  <si>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</si>
  <si>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</si>
  <si>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</si>
  <si>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</si>
  <si>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</si>
  <si>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</si>
  <si>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</si>
  <si>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</si>
  <si>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</si>
  <si>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</si>
  <si>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</si>
  <si>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</si>
  <si>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</si>
  <si>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</si>
  <si>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</si>
  <si>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</si>
  <si>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</si>
  <si>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</si>
  <si>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</si>
  <si>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</si>
  <si>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</si>
  <si>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</si>
  <si>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</si>
  <si>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</si>
  <si>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</si>
  <si>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</si>
  <si>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</si>
  <si>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</si>
  <si>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</si>
  <si>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</si>
  <si>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</si>
  <si>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</si>
  <si>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</si>
  <si>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</si>
  <si>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</si>
  <si>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</si>
  <si>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</si>
  <si>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</si>
  <si>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</si>
  <si>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</si>
  <si>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</si>
  <si>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</si>
  <si>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</si>
  <si>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</si>
  <si>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</si>
  <si>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</si>
  <si>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</si>
  <si>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</si>
  <si>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</si>
  <si>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</si>
  <si>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</si>
  <si>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</si>
  <si>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</si>
  <si>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</si>
  <si>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</si>
  <si>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</si>
  <si>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</si>
  <si>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</si>
  <si>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</si>
  <si>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</si>
  <si>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</si>
  <si>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</si>
  <si>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</si>
  <si>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</si>
  <si>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</si>
  <si>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</si>
  <si>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</si>
  <si>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</si>
  <si>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</si>
  <si>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</si>
  <si>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</si>
  <si>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</si>
  <si>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</si>
  <si>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</si>
  <si>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</si>
  <si>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</si>
  <si>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</si>
  <si>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</si>
  <si>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</si>
  <si>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</si>
  <si>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</si>
  <si>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</si>
  <si>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</si>
  <si>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</si>
  <si>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</si>
  <si>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</si>
  <si>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</si>
  <si>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</si>
  <si>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</si>
  <si>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</si>
  <si>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</si>
  <si>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</si>
  <si>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</si>
  <si>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</si>
  <si>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</si>
  <si>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</si>
  <si>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</si>
  <si>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</si>
  <si>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</si>
  <si>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</si>
  <si>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</si>
  <si>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</si>
  <si>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</si>
  <si>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</si>
  <si>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</si>
  <si>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</si>
  <si>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</si>
  <si>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</si>
  <si>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</si>
  <si>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</si>
  <si>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</si>
  <si>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</si>
  <si>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</si>
  <si>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</si>
  <si>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</si>
  <si>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</si>
  <si>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</si>
  <si>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</si>
  <si>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</si>
  <si>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</si>
  <si>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</si>
  <si>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</si>
  <si>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</si>
  <si>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</si>
  <si>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</si>
  <si>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</si>
  <si>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</si>
  <si>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</si>
  <si>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</si>
  <si>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</si>
  <si>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</si>
  <si>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</si>
  <si>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</si>
  <si>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</si>
  <si>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</si>
  <si>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</si>
  <si>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</si>
  <si>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</si>
  <si>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</si>
  <si>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</si>
  <si>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</si>
  <si>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</si>
  <si>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</si>
  <si>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</si>
  <si>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</si>
  <si>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</si>
  <si>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</si>
  <si>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</si>
  <si>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</si>
  <si>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</si>
  <si>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</si>
  <si>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</si>
  <si>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</si>
  <si>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</si>
  <si>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</si>
  <si>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</si>
  <si>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</si>
  <si>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</si>
  <si>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</si>
  <si>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</si>
  <si>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</si>
  <si>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</si>
  <si>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</si>
  <si>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</si>
  <si>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</si>
  <si>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</si>
  <si>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</si>
  <si>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</si>
  <si>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</si>
  <si>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</si>
  <si>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</si>
  <si>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</si>
  <si>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</si>
  <si>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</si>
  <si>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</si>
  <si>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</si>
  <si>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</si>
  <si>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</si>
  <si>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</si>
  <si>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</si>
  <si>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</si>
  <si>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</si>
  <si>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</si>
  <si>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</si>
  <si>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</si>
  <si>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</si>
  <si>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</si>
  <si>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</si>
  <si>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</si>
  <si>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</si>
  <si>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</si>
  <si>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</si>
  <si>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</si>
  <si>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</si>
  <si>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</si>
  <si>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</si>
  <si>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</si>
  <si>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</si>
  <si>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</si>
  <si>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</si>
  <si>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</si>
  <si>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</si>
  <si>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</si>
  <si>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</si>
  <si>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</si>
  <si>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</si>
  <si>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</si>
  <si>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</si>
  <si>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</si>
  <si>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</si>
  <si>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</si>
  <si>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</si>
  <si>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</si>
  <si>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</si>
  <si>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</si>
  <si>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</si>
  <si>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</si>
  <si>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</si>
  <si>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</si>
  <si>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</si>
  <si>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</si>
  <si>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</si>
  <si>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</si>
  <si>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</si>
  <si>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</si>
  <si>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</si>
  <si>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</si>
  <si>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</si>
  <si>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</si>
  <si>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</si>
  <si>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</si>
  <si>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</si>
  <si>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</si>
  <si>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</si>
  <si>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</si>
  <si>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</si>
  <si>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</si>
  <si>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</si>
  <si>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</si>
  <si>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</si>
  <si>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</si>
  <si>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</si>
  <si>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</si>
  <si>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</si>
  <si>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</si>
  <si>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</si>
  <si>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</si>
  <si>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</si>
  <si>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</si>
  <si>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</si>
  <si>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</si>
  <si>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</si>
  <si>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</si>
  <si>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</si>
  <si>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</si>
  <si>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</si>
  <si>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</si>
  <si>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</si>
  <si>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</si>
  <si>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</si>
  <si>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</si>
  <si>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</si>
  <si>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</si>
  <si>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</si>
  <si>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</si>
  <si>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</si>
  <si>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</si>
  <si>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</si>
  <si>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</si>
  <si>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</si>
  <si>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</si>
  <si>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</si>
  <si>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</si>
  <si>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</si>
  <si>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</si>
  <si>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</si>
  <si>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</si>
  <si>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</si>
  <si>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</si>
  <si>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</si>
  <si>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</si>
  <si>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</si>
  <si>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</si>
  <si>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</si>
  <si>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</si>
  <si>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</si>
  <si>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</si>
  <si>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</si>
  <si>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</si>
  <si>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</si>
  <si>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</si>
  <si>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</si>
  <si>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</si>
  <si>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</si>
  <si>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</si>
  <si>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</si>
  <si>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</si>
  <si>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</si>
  <si>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</si>
  <si>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</si>
  <si>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</si>
  <si>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</si>
  <si>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</si>
  <si>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</si>
  <si>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</si>
  <si>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</si>
  <si>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</si>
  <si>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</si>
  <si>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</si>
  <si>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</si>
  <si>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</si>
  <si>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</si>
  <si>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</si>
  <si>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</si>
  <si>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</si>
  <si>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</si>
  <si>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</si>
  <si>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</si>
  <si>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</si>
  <si>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</si>
  <si>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</si>
  <si>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</si>
  <si>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</si>
  <si>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</si>
  <si>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</si>
  <si>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</si>
  <si>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</si>
  <si>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</si>
  <si>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</si>
  <si>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</si>
  <si>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</si>
  <si>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</si>
  <si>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</si>
  <si>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</si>
  <si>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</si>
  <si>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</si>
  <si>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</si>
  <si>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</si>
  <si>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</si>
  <si>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</si>
  <si>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</si>
  <si>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</si>
  <si>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</si>
  <si>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</si>
  <si>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</si>
  <si>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</si>
  <si>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</si>
  <si>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</si>
  <si>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</si>
  <si>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</si>
  <si>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</si>
  <si>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</si>
  <si>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</si>
  <si>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</si>
  <si>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</si>
  <si>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</si>
  <si>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</si>
  <si>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</si>
  <si>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</si>
  <si>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</si>
  <si>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</si>
  <si>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</si>
  <si>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</si>
  <si>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</si>
  <si>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</si>
  <si>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</si>
  <si>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</si>
  <si>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</si>
  <si>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</si>
  <si>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</si>
  <si>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</si>
  <si>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</si>
  <si>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</si>
  <si>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</si>
  <si>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</si>
  <si>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</si>
  <si>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</si>
  <si>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</si>
  <si>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</si>
  <si>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</si>
  <si>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</si>
  <si>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</si>
  <si>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</si>
  <si>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</si>
  <si>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</si>
  <si>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</si>
  <si>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</si>
  <si>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</si>
  <si>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</si>
  <si>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</si>
  <si>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</si>
  <si>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</si>
  <si>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</si>
  <si>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</si>
  <si>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</si>
  <si>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</si>
  <si>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</si>
  <si>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</si>
  <si>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</si>
  <si>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</si>
  <si>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</si>
  <si>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</si>
  <si>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</si>
  <si>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</si>
  <si>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</si>
  <si>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</si>
  <si>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</si>
  <si>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</si>
  <si>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</si>
  <si>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</si>
  <si>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</si>
  <si>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</si>
  <si>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</si>
  <si>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</si>
  <si>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</si>
  <si>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</si>
  <si>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</si>
  <si>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</si>
  <si>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</si>
  <si>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</si>
  <si>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</si>
  <si>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</si>
  <si>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</si>
  <si>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</si>
  <si>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</si>
  <si>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</si>
  <si>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</si>
  <si>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</si>
  <si>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</si>
  <si>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</si>
  <si>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</si>
  <si>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</si>
  <si>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</si>
  <si>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</si>
  <si>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</si>
  <si>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</si>
  <si>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</si>
  <si>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</si>
  <si>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</si>
  <si>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</si>
  <si>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</si>
  <si>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</si>
  <si>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</si>
  <si>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</si>
  <si>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</si>
  <si>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</si>
  <si>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</si>
  <si>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</si>
  <si>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</si>
  <si>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</si>
  <si>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</si>
  <si>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</si>
  <si>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</si>
  <si>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</si>
  <si>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</si>
  <si>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</si>
  <si>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</si>
  <si>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</si>
  <si>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</si>
  <si>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</si>
  <si>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</si>
  <si>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</si>
  <si>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</si>
  <si>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</si>
  <si>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</si>
  <si>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</si>
  <si>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</si>
  <si>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</si>
  <si>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</si>
  <si>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</si>
  <si>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</si>
  <si>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</si>
  <si>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</si>
  <si>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</si>
  <si>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</si>
  <si>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</si>
  <si>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</si>
  <si>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</si>
  <si>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</si>
  <si>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</si>
  <si>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</si>
  <si>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</si>
  <si>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</si>
  <si>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</si>
  <si>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</si>
  <si>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</si>
  <si>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</si>
  <si>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</si>
  <si>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</si>
  <si>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</si>
  <si>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</si>
  <si>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</si>
  <si>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</si>
  <si>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</si>
  <si>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</si>
  <si>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</si>
  <si>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</si>
  <si>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</si>
  <si>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</si>
  <si>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</si>
  <si>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</si>
  <si>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</si>
  <si>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</si>
  <si>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</si>
  <si>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</si>
  <si>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</si>
  <si>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</si>
  <si>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</si>
  <si>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</si>
  <si>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</si>
  <si>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</si>
  <si>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</si>
  <si>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</si>
  <si>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</si>
  <si>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</si>
  <si>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</si>
  <si>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</si>
  <si>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</si>
  <si>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</si>
  <si>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</si>
  <si>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</si>
  <si>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</si>
  <si>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</si>
  <si>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</si>
  <si>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</si>
  <si>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</si>
  <si>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</si>
  <si>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</si>
  <si>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</si>
  <si>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</si>
  <si>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</si>
  <si>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</si>
  <si>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</si>
  <si>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</si>
  <si>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</si>
  <si>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</si>
  <si>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</si>
  <si>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</si>
  <si>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</si>
  <si>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</si>
  <si>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</si>
  <si>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</si>
  <si>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</si>
  <si>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</si>
  <si>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</si>
  <si>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</si>
  <si>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</si>
  <si>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</si>
  <si>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</si>
  <si>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</si>
  <si>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</si>
  <si>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</si>
  <si>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</si>
  <si>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</si>
  <si>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</si>
  <si>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</si>
  <si>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</si>
  <si>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</si>
  <si>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</si>
  <si>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</si>
  <si>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</si>
  <si>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</si>
  <si>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</si>
  <si>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</si>
  <si>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</si>
  <si>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</si>
  <si>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</si>
  <si>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</si>
  <si>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</si>
  <si>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</si>
  <si>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</si>
  <si>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</si>
  <si>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</si>
  <si>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</si>
  <si>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</si>
  <si>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</si>
  <si>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</si>
  <si>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</si>
  <si>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</si>
  <si>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</si>
  <si>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</si>
  <si>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</si>
  <si>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</si>
  <si>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</si>
  <si>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</si>
  <si>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</si>
  <si>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</si>
  <si>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</si>
  <si>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</si>
  <si>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</si>
  <si>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</si>
  <si>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</si>
  <si>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</si>
  <si>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</si>
  <si>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</si>
  <si>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</si>
  <si>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</si>
  <si>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</si>
  <si>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</si>
  <si>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</si>
  <si>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</si>
  <si>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</si>
  <si>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</si>
  <si>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</si>
  <si>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</si>
  <si>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</si>
  <si>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</si>
  <si>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</si>
  <si>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</si>
  <si>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</si>
  <si>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</si>
  <si>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</si>
  <si>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</si>
  <si>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</si>
  <si>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</si>
  <si>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</si>
  <si>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</si>
  <si>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</si>
  <si>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</si>
  <si>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</si>
  <si>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</si>
  <si>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</si>
  <si>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</si>
  <si>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</si>
  <si>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</si>
  <si>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</si>
  <si>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</si>
  <si>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</si>
  <si>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</si>
  <si>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</si>
  <si>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</si>
  <si>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</si>
  <si>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</si>
  <si>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</si>
  <si>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</si>
  <si>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</si>
  <si>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</si>
  <si>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</si>
  <si>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</si>
  <si>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</si>
  <si>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</si>
  <si>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</si>
  <si>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</si>
  <si>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</si>
  <si>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</si>
  <si>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</si>
  <si>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</si>
  <si>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</si>
  <si>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</si>
  <si>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</si>
  <si>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</si>
  <si>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</si>
  <si>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</si>
  <si>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</si>
  <si>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</si>
  <si>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</si>
  <si>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</si>
  <si>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</si>
  <si>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</si>
  <si>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</si>
  <si>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</si>
  <si>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</si>
  <si>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</si>
  <si>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</si>
  <si>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</si>
  <si>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</si>
  <si>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</si>
  <si>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</si>
  <si>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</si>
  <si>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</si>
  <si>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</si>
  <si>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</si>
  <si>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</si>
  <si>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</si>
  <si>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</si>
  <si>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</si>
  <si>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</si>
  <si>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</si>
  <si>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</si>
  <si>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</si>
  <si>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</si>
  <si>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</si>
  <si>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</si>
  <si>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</si>
  <si>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</si>
  <si>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</si>
  <si>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</si>
  <si>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</si>
  <si>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</si>
  <si>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</si>
  <si>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</si>
  <si>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</si>
  <si>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</si>
  <si>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</si>
  <si>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</si>
  <si>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</si>
  <si>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</si>
  <si>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</si>
  <si>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</si>
  <si>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</si>
  <si>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</si>
  <si>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</si>
  <si>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</si>
  <si>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</si>
  <si>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</si>
  <si>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</si>
  <si>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</si>
  <si>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</si>
  <si>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</si>
  <si>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</si>
  <si>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</si>
  <si>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</si>
  <si>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</si>
  <si>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</si>
  <si>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</si>
  <si>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</si>
  <si>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</si>
  <si>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</si>
  <si>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</si>
  <si>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</si>
  <si>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</si>
  <si>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</si>
  <si>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</si>
  <si>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</si>
  <si>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</si>
  <si>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</si>
  <si>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</si>
  <si>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</si>
  <si>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</si>
  <si>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</si>
  <si>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</si>
  <si>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</si>
  <si>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</si>
  <si>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</si>
  <si>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</si>
  <si>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</si>
  <si>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</si>
  <si>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</si>
  <si>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</si>
  <si>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</si>
  <si>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</si>
  <si>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</si>
  <si>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</si>
  <si>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</si>
  <si>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</si>
  <si>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</si>
  <si>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</si>
  <si>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</si>
  <si>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</si>
  <si>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</si>
  <si>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</si>
  <si>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</si>
  <si>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</si>
  <si>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</si>
  <si>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</si>
  <si>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</si>
  <si>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</si>
  <si>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</si>
  <si>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</si>
  <si>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</si>
  <si>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</si>
  <si>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</si>
  <si>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</si>
  <si>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</si>
  <si>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</si>
  <si>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</si>
  <si>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</si>
  <si>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</si>
  <si>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</si>
  <si>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</si>
  <si>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</si>
  <si>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</si>
  <si>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</si>
  <si>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</si>
  <si>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</si>
  <si>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</si>
  <si>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</si>
  <si>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</si>
  <si>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</si>
  <si>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</si>
  <si>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</si>
  <si>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</si>
  <si>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</si>
  <si>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</si>
  <si>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</si>
  <si>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</si>
  <si>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</si>
  <si>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</si>
  <si>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</si>
  <si>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</si>
  <si>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</si>
  <si>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</si>
  <si>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</si>
  <si>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</si>
  <si>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</si>
  <si>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</si>
  <si>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</si>
  <si>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</si>
  <si>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</si>
  <si>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</si>
  <si>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</si>
  <si>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</si>
  <si>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</si>
  <si>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</si>
  <si>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</si>
  <si>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</si>
  <si>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</si>
  <si>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</si>
  <si>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</si>
  <si>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</si>
  <si>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</si>
  <si>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</si>
  <si>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</si>
  <si>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</si>
  <si>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</si>
  <si>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</si>
  <si>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</si>
  <si>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</si>
  <si>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</si>
  <si>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</si>
  <si>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</si>
  <si>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</si>
  <si>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</si>
  <si>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</si>
  <si>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</si>
  <si>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</si>
  <si>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</si>
  <si>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</si>
  <si>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</si>
  <si>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</si>
  <si>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</si>
  <si>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</si>
  <si>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</si>
  <si>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</si>
  <si>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</si>
  <si>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</si>
  <si>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</si>
  <si>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</si>
  <si>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</si>
  <si>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</si>
  <si>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</si>
  <si>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</si>
  <si>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</si>
  <si>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</si>
  <si>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</si>
  <si>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</si>
  <si>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</si>
  <si>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</si>
  <si>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</si>
  <si>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</si>
  <si>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</si>
  <si>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</si>
  <si>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</si>
  <si>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</si>
  <si>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</si>
  <si>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</si>
  <si>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</si>
  <si>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</si>
  <si>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</si>
  <si>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</si>
  <si>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</si>
  <si>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</si>
  <si>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</si>
  <si>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</si>
  <si>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</si>
  <si>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</si>
  <si>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</si>
  <si>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</si>
  <si>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</si>
  <si>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</si>
  <si>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</si>
  <si>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</si>
  <si>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</si>
  <si>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</si>
  <si>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</si>
  <si>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</si>
  <si>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</si>
  <si>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</si>
  <si>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</si>
  <si>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</si>
  <si>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</si>
  <si>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</si>
  <si>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</si>
  <si>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</si>
  <si>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</si>
  <si>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</si>
  <si>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</si>
  <si>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</si>
  <si>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</si>
  <si>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</si>
  <si>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</si>
  <si>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</si>
  <si>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</si>
  <si>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</si>
  <si>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</si>
  <si>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</si>
  <si>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</si>
  <si>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</si>
  <si>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</si>
  <si>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</si>
  <si>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</si>
  <si>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</si>
  <si>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</si>
  <si>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</si>
  <si>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</si>
  <si>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</si>
  <si>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</si>
  <si>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</si>
  <si>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</si>
  <si>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</si>
  <si>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</si>
  <si>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</si>
  <si>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</si>
  <si>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</si>
  <si>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</si>
  <si>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</si>
  <si>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</si>
  <si>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</si>
  <si>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</si>
  <si>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</si>
  <si>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</si>
  <si>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</si>
  <si>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</si>
  <si>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</si>
  <si>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</si>
  <si>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</si>
  <si>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</si>
  <si>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</si>
  <si>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</si>
  <si>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</si>
  <si>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</si>
  <si>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</si>
  <si>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</si>
  <si>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</si>
  <si>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</si>
  <si>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</si>
  <si>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</si>
  <si>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</si>
  <si>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</si>
  <si>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</si>
  <si>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</si>
  <si>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</si>
  <si>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</si>
  <si>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</si>
  <si>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</si>
  <si>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</si>
  <si>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</si>
  <si>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</si>
  <si>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</si>
  <si>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</si>
  <si>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</si>
  <si>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</si>
  <si>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</si>
  <si>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</si>
  <si>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</si>
  <si>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</si>
  <si>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</si>
  <si>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</si>
  <si>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</si>
  <si>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</si>
  <si>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</si>
  <si>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</si>
  <si>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</si>
  <si>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</si>
  <si>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</si>
  <si>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</si>
  <si>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</si>
  <si>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</si>
  <si>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</si>
  <si>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</si>
  <si>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</si>
  <si>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</si>
  <si>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</si>
  <si>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</si>
  <si>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</si>
  <si>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</si>
  <si>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</si>
  <si>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</si>
  <si>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</si>
  <si>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</si>
  <si>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</si>
  <si>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</si>
  <si>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</si>
  <si>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</si>
  <si>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</si>
  <si>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</si>
  <si>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</si>
  <si>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</si>
  <si>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</si>
  <si>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</si>
  <si>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</si>
  <si>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</si>
  <si>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</si>
  <si>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</si>
  <si>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</si>
  <si>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</si>
  <si>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</si>
  <si>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</si>
  <si>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</si>
  <si>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</si>
  <si>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</si>
  <si>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</si>
  <si>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</si>
  <si>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</si>
  <si>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</si>
  <si>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</si>
  <si>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</si>
  <si>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</si>
  <si>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</si>
  <si>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</si>
  <si>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</si>
  <si>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</si>
  <si>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</si>
  <si>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</si>
  <si>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</si>
  <si>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</si>
  <si>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</si>
  <si>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</si>
  <si>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</si>
  <si>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</si>
  <si>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</si>
  <si>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</si>
  <si>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</si>
  <si>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</si>
  <si>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</si>
  <si>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</si>
  <si>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</si>
  <si>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</si>
  <si>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</si>
  <si>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</si>
  <si>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</si>
  <si>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</si>
  <si>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</si>
  <si>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</si>
  <si>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</si>
  <si>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</si>
  <si>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</si>
  <si>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</si>
  <si>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</si>
  <si>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</si>
  <si>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</si>
  <si>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</si>
  <si>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</si>
  <si>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</si>
  <si>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</si>
  <si>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</si>
  <si>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</si>
  <si>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</si>
  <si>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</si>
  <si>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</si>
  <si>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</si>
  <si>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</si>
  <si>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</si>
  <si>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</si>
  <si>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</si>
  <si>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</si>
  <si>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</si>
  <si>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</si>
  <si>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</si>
  <si>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</si>
  <si>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</si>
  <si>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</si>
  <si>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</si>
  <si>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</si>
  <si>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</si>
  <si>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</si>
  <si>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</si>
  <si>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</si>
  <si>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</si>
  <si>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</si>
  <si>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</si>
  <si>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</si>
  <si>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</si>
  <si>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</si>
  <si>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</si>
  <si>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</si>
  <si>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</si>
  <si>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</si>
  <si>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</si>
  <si>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</si>
  <si>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</si>
  <si>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</si>
  <si>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</si>
  <si>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</si>
  <si>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</si>
  <si>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</si>
  <si>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</si>
  <si>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</si>
  <si>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</si>
  <si>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</si>
  <si>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</si>
  <si>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</si>
  <si>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</si>
  <si>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</si>
  <si>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</si>
  <si>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</si>
  <si>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</si>
  <si>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</si>
  <si>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</si>
  <si>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</si>
  <si>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</si>
  <si>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</si>
  <si>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</si>
  <si>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</si>
  <si>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</si>
  <si>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</si>
  <si>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</si>
  <si>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</si>
  <si>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</si>
  <si>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</si>
  <si>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</si>
  <si>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</si>
  <si>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</si>
  <si>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</si>
  <si>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</si>
  <si>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</si>
  <si>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</si>
  <si>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</si>
  <si>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</si>
  <si>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</si>
  <si>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</si>
  <si>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</si>
  <si>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</si>
  <si>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</si>
  <si>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</si>
  <si>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</si>
  <si>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</si>
  <si>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</si>
  <si>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</si>
  <si>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</si>
  <si>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</si>
  <si>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</si>
  <si>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</si>
  <si>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</si>
  <si>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</si>
  <si>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</si>
  <si>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</si>
  <si>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</si>
  <si>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</si>
  <si>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</si>
  <si>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</si>
  <si>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</si>
  <si>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</si>
  <si>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</si>
  <si>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</si>
  <si>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</si>
  <si>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</si>
  <si>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</si>
  <si>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</si>
  <si>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</si>
  <si>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</si>
  <si>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</si>
  <si>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</si>
  <si>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</si>
  <si>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</si>
  <si>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</si>
  <si>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</si>
  <si>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</si>
  <si>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</si>
  <si>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</si>
  <si>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</si>
  <si>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</si>
  <si>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</si>
  <si>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</si>
  <si>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</si>
  <si>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</si>
  <si>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</si>
  <si>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</si>
  <si>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</si>
  <si>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</si>
  <si>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</si>
  <si>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</si>
  <si>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</si>
  <si>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</si>
  <si>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</si>
  <si>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</si>
  <si>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</si>
  <si>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</si>
  <si>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</si>
  <si>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</si>
  <si>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</si>
  <si>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</si>
  <si>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</si>
  <si>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</si>
  <si>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</si>
  <si>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</si>
  <si>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</si>
  <si>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</si>
  <si>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</si>
  <si>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</si>
  <si>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</si>
  <si>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</si>
  <si>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</si>
  <si>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</si>
  <si>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</si>
  <si>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</si>
  <si>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</si>
  <si>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</si>
  <si>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</si>
  <si>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</si>
  <si>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</si>
  <si>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</si>
  <si>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</si>
  <si>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</si>
  <si>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</si>
  <si>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</si>
  <si>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</si>
  <si>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</si>
  <si>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</si>
  <si>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</si>
  <si>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</si>
  <si>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</si>
  <si>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</si>
  <si>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</si>
  <si>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</si>
  <si>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</si>
  <si>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</si>
  <si>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</si>
  <si>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</si>
  <si>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</si>
  <si>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</si>
  <si>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</si>
  <si>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</si>
  <si>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</si>
  <si>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</si>
  <si>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</si>
  <si>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</si>
  <si>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</si>
  <si>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</si>
  <si>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</si>
  <si>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</si>
  <si>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</si>
  <si>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</si>
  <si>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</si>
  <si>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</si>
  <si>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</si>
  <si>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</si>
  <si>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</si>
  <si>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</si>
  <si>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</si>
  <si>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</si>
  <si>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</si>
  <si>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</si>
  <si>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</si>
  <si>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</si>
  <si>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</si>
  <si>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</si>
  <si>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</si>
  <si>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</si>
  <si>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</si>
  <si>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</si>
  <si>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</si>
  <si>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</si>
  <si>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</si>
  <si>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</si>
  <si>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</si>
  <si>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</si>
  <si>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</si>
  <si>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</si>
  <si>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</si>
  <si>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</si>
  <si>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</si>
  <si>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</si>
  <si>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</si>
  <si>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</si>
  <si>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</si>
  <si>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</si>
  <si>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</si>
  <si>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</si>
  <si>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</si>
  <si>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</si>
  <si>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</si>
  <si>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</si>
  <si>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</si>
  <si>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</si>
  <si>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</si>
  <si>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</si>
  <si>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</si>
  <si>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</si>
  <si>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</si>
  <si>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</si>
  <si>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</si>
  <si>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</si>
  <si>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</si>
  <si>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</si>
  <si>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</si>
  <si>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</si>
  <si>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</si>
  <si>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</si>
  <si>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</si>
  <si>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</si>
  <si>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</si>
  <si>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</si>
  <si>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</si>
  <si>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</si>
  <si>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</si>
  <si>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</si>
  <si>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</si>
  <si>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</si>
  <si>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</si>
  <si>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</si>
  <si>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</si>
  <si>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</si>
  <si>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</si>
  <si>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</si>
  <si>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</si>
  <si>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</si>
  <si>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</si>
  <si>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</si>
  <si>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</si>
  <si>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</si>
  <si>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</si>
  <si>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</si>
  <si>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</si>
  <si>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</si>
  <si>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</si>
  <si>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</si>
  <si>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</si>
  <si>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</si>
  <si>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</si>
  <si>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</si>
  <si>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</si>
  <si>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</si>
  <si>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</si>
  <si>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</si>
  <si>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</si>
  <si>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</si>
  <si>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</si>
  <si>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</si>
  <si>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</si>
  <si>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</si>
  <si>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</si>
  <si>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</si>
  <si>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</si>
  <si>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</si>
  <si>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</si>
  <si>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</si>
  <si>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</si>
  <si>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</si>
  <si>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</si>
  <si>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</si>
  <si>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</si>
  <si>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</si>
  <si>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</si>
  <si>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</si>
  <si>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</si>
  <si>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</si>
  <si>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</si>
  <si>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</si>
  <si>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</si>
  <si>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</si>
  <si>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</si>
  <si>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</si>
  <si>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</si>
  <si>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</si>
  <si>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</si>
  <si>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</si>
  <si>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</si>
  <si>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</si>
  <si>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</si>
  <si>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</si>
  <si>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</si>
  <si>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</si>
  <si>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</si>
  <si>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</si>
  <si>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</si>
  <si>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</si>
  <si>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</si>
  <si>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</si>
  <si>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</si>
  <si>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</si>
  <si>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</si>
  <si>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</si>
  <si>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</si>
  <si>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</si>
  <si>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</si>
  <si>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</si>
  <si>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</si>
  <si>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</si>
  <si>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</si>
  <si>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</si>
  <si>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</si>
  <si>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</si>
  <si>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</si>
  <si>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</si>
  <si>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</si>
  <si>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</si>
  <si>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</si>
  <si>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</si>
  <si>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</si>
  <si>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</si>
  <si>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</si>
  <si>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</si>
  <si>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</si>
  <si>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</si>
  <si>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</si>
  <si>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</si>
  <si>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</si>
  <si>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</si>
  <si>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</si>
  <si>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</si>
  <si>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</si>
  <si>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</si>
  <si>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</si>
  <si>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</si>
  <si>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</si>
  <si>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</si>
  <si>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</si>
  <si>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</si>
  <si>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</si>
  <si>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</si>
  <si>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</si>
  <si>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</si>
  <si>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</si>
  <si>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</si>
  <si>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</si>
  <si>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</si>
  <si>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</si>
  <si>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</si>
  <si>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</si>
  <si>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</si>
  <si>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</si>
  <si>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</si>
  <si>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</si>
  <si>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</si>
  <si>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</si>
  <si>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</si>
  <si>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</si>
  <si>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</si>
  <si>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</si>
  <si>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</si>
  <si>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</si>
  <si>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</si>
  <si>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</si>
  <si>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</si>
  <si>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</si>
  <si>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</si>
  <si>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</si>
  <si>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</si>
  <si>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</si>
  <si>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</si>
  <si>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</si>
  <si>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</si>
  <si>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</si>
  <si>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</si>
  <si>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</si>
  <si>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</si>
  <si>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</si>
  <si>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</si>
  <si>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</si>
  <si>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</si>
  <si>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</si>
  <si>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</si>
  <si>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</si>
  <si>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</si>
  <si>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</si>
  <si>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</si>
  <si>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</si>
  <si>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</si>
  <si>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</si>
  <si>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</si>
  <si>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</si>
  <si>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</si>
  <si>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</si>
  <si>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</si>
  <si>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</si>
  <si>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</si>
  <si>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</si>
  <si>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</si>
  <si>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</si>
  <si>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</si>
  <si>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</si>
  <si>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</si>
  <si>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</si>
  <si>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</si>
  <si>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</si>
  <si>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</si>
  <si>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</si>
  <si>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</si>
  <si>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</si>
  <si>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</si>
  <si>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</si>
  <si>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</si>
  <si>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</si>
  <si>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</si>
  <si>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</si>
  <si>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</si>
  <si>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</si>
  <si>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</si>
  <si>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</si>
  <si>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</si>
  <si>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</si>
  <si>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</si>
  <si>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</si>
  <si>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</si>
  <si>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</si>
  <si>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</si>
  <si>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</si>
  <si>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</si>
  <si>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</si>
  <si>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</si>
  <si>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</si>
  <si>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</si>
  <si>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</si>
  <si>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</si>
  <si>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</si>
  <si>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</si>
  <si>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</si>
  <si>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</si>
  <si>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</si>
  <si>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</si>
  <si>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</si>
  <si>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</si>
  <si>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</si>
  <si>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</si>
  <si>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</si>
  <si>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</si>
  <si>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</si>
  <si>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</si>
  <si>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</si>
  <si>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</si>
  <si>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</si>
  <si>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</si>
  <si>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</si>
  <si>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</si>
  <si>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</si>
  <si>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</si>
  <si>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</si>
  <si>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</si>
  <si>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</si>
  <si>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</si>
  <si>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</si>
  <si>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</si>
  <si>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</si>
  <si>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</si>
  <si>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</si>
  <si>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</si>
  <si>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</si>
  <si>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</si>
  <si>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</si>
  <si>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</si>
  <si>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</si>
  <si>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</si>
  <si>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</si>
  <si>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</si>
  <si>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</si>
  <si>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</si>
  <si>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</si>
  <si>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</si>
  <si>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</si>
  <si>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</si>
  <si>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</si>
  <si>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</si>
  <si>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</si>
  <si>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</si>
  <si>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</si>
  <si>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</si>
  <si>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</si>
  <si>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</si>
  <si>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</si>
  <si>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</si>
  <si>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</si>
  <si>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</si>
  <si>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</si>
  <si>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</si>
  <si>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</si>
  <si>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</si>
  <si>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</si>
  <si>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</si>
  <si>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</si>
  <si>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</si>
  <si>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</si>
  <si>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</si>
  <si>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</si>
  <si>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</si>
  <si>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</si>
  <si>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</si>
  <si>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</si>
  <si>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</si>
  <si>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</si>
  <si>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</si>
  <si>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</si>
  <si>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</si>
  <si>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</si>
  <si>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</si>
  <si>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</si>
  <si>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</si>
  <si>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</si>
  <si>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</si>
  <si>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</si>
  <si>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</si>
  <si>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</si>
  <si>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</si>
  <si>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</si>
  <si>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</si>
  <si>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</si>
  <si>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</si>
  <si>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</si>
  <si>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</si>
  <si>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</si>
  <si>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</si>
  <si>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</si>
  <si>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</si>
  <si>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</si>
  <si>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</si>
  <si>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</si>
  <si>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</si>
  <si>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</si>
  <si>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</si>
  <si>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</si>
  <si>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</si>
  <si>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</si>
  <si>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</si>
  <si>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</si>
  <si>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</si>
  <si>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</si>
  <si>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</si>
  <si>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</si>
  <si>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</si>
  <si>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</si>
  <si>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</si>
  <si>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</si>
  <si>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</si>
  <si>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</si>
  <si>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</si>
  <si>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</si>
  <si>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</si>
  <si>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</si>
  <si>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</si>
  <si>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</si>
  <si>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</si>
  <si>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</si>
  <si>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</si>
  <si>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</si>
  <si>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</si>
  <si>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</si>
  <si>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</si>
  <si>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</si>
  <si>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</si>
  <si>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</si>
  <si>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</si>
  <si>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</si>
  <si>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</si>
  <si>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</si>
  <si>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</si>
  <si>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</si>
  <si>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</si>
  <si>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</si>
  <si>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</si>
  <si>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</si>
  <si>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</si>
  <si>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</si>
  <si>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</si>
  <si>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</si>
  <si>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</si>
  <si>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</si>
  <si>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</si>
  <si>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</si>
  <si>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</si>
  <si>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</si>
  <si>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</si>
  <si>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</si>
  <si>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</si>
  <si>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</si>
  <si>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</si>
  <si>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</si>
  <si>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</si>
  <si>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</si>
  <si>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</si>
  <si>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</si>
  <si>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</si>
  <si>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</si>
  <si>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</si>
  <si>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</si>
  <si>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</si>
  <si>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</si>
  <si>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</si>
  <si>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</si>
  <si>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</si>
  <si>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</si>
  <si>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</si>
  <si>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</si>
  <si>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</si>
  <si>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</si>
  <si>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</si>
  <si>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</si>
  <si>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</si>
  <si>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</si>
  <si>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</si>
  <si>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</si>
  <si>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</si>
  <si>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</si>
  <si>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</si>
  <si>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</si>
  <si>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</si>
  <si>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</si>
  <si>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</si>
  <si>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</si>
  <si>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</si>
  <si>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</si>
  <si>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</si>
  <si>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</si>
  <si>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</si>
  <si>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</si>
  <si>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</si>
  <si>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</si>
  <si>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</si>
  <si>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</si>
  <si>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</si>
  <si>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</si>
  <si>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</si>
  <si>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</si>
  <si>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</si>
  <si>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</si>
  <si>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</si>
  <si>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</si>
  <si>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</si>
  <si>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</si>
  <si>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</si>
  <si>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</si>
  <si>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</si>
  <si>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</si>
  <si>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</si>
  <si>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</si>
  <si>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</si>
  <si>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</si>
  <si>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</si>
  <si>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</si>
  <si>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</si>
  <si>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</si>
  <si>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</si>
  <si>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</si>
  <si>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</si>
  <si>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</si>
  <si>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</si>
  <si>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</si>
  <si>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</si>
  <si>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</si>
  <si>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</si>
  <si>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</si>
  <si>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</si>
  <si>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</si>
  <si>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</si>
  <si>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</si>
  <si>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</si>
  <si>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</si>
  <si>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</si>
  <si>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</si>
  <si>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</si>
  <si>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</si>
  <si>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</si>
  <si>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</si>
  <si>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</si>
  <si>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</si>
  <si>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</si>
  <si>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</si>
  <si>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</si>
  <si>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</si>
  <si>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</si>
  <si>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</si>
  <si>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</si>
  <si>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</si>
  <si>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</si>
  <si>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</si>
  <si>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</si>
  <si>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</si>
  <si>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</si>
  <si>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</si>
  <si>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</si>
  <si>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</si>
  <si>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</si>
  <si>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</si>
  <si>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</si>
  <si>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</si>
  <si>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</si>
  <si>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</si>
  <si>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</si>
  <si>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</si>
  <si>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</si>
  <si>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</si>
  <si>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</si>
  <si>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</si>
  <si>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</si>
  <si>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</si>
  <si>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</si>
  <si>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</si>
  <si>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</si>
  <si>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</si>
  <si>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</si>
  <si>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</si>
  <si>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</si>
  <si>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</si>
  <si>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</si>
  <si>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</si>
  <si>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</si>
  <si>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</si>
  <si>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</si>
  <si>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</si>
  <si>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</si>
  <si>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</si>
  <si>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</si>
  <si>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</si>
  <si>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</si>
  <si>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</si>
  <si>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</si>
  <si>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</si>
  <si>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</si>
  <si>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</si>
  <si>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</si>
  <si>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</si>
  <si>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</si>
  <si>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</si>
  <si>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</si>
  <si>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</si>
  <si>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</si>
  <si>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</si>
  <si>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</si>
  <si>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</si>
  <si>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</si>
  <si>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</si>
  <si>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</si>
  <si>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</si>
  <si>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</si>
  <si>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</si>
  <si>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</si>
  <si>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</si>
  <si>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</si>
  <si>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</si>
  <si>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</si>
  <si>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</si>
  <si>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</si>
  <si>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</si>
  <si>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</si>
  <si>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</si>
  <si>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</si>
  <si>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</si>
  <si>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</si>
  <si>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</si>
  <si>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</si>
  <si>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</si>
  <si>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</si>
  <si>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</si>
  <si>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</si>
  <si>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</si>
  <si>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</si>
  <si>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</si>
  <si>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</si>
  <si>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</si>
  <si>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</si>
  <si>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</si>
  <si>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</si>
  <si>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</si>
  <si>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</si>
  <si>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</si>
  <si>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</si>
  <si>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</si>
  <si>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</si>
  <si>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</si>
  <si>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</si>
  <si>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</si>
  <si>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</si>
  <si>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</si>
  <si>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</si>
  <si>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</si>
  <si>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</si>
  <si>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</si>
  <si>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</si>
  <si>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</si>
  <si>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</si>
  <si>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</si>
  <si>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</si>
  <si>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</si>
  <si>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</si>
  <si>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</si>
  <si>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</si>
  <si>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</si>
  <si>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</si>
  <si>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</si>
  <si>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</si>
  <si>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</si>
  <si>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</si>
  <si>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</si>
  <si>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</si>
  <si>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</si>
  <si>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</si>
  <si>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</si>
  <si>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</si>
  <si>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</si>
  <si>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</si>
  <si>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</si>
  <si>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</si>
  <si>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</si>
  <si>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</si>
  <si>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</si>
  <si>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</si>
  <si>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</si>
  <si>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</si>
  <si>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</si>
  <si>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</si>
  <si>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</si>
  <si>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</si>
  <si>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</si>
  <si>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</si>
  <si>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</si>
  <si>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</si>
  <si>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</si>
  <si>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</si>
  <si>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</si>
  <si>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</si>
  <si>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</si>
  <si>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</si>
  <si>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</si>
  <si>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</si>
  <si>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</si>
  <si>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</si>
  <si>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</si>
  <si>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</si>
  <si>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</si>
  <si>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</si>
  <si>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</si>
  <si>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</si>
  <si>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</si>
  <si>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</si>
  <si>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</si>
  <si>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</si>
  <si>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</si>
  <si>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</si>
  <si>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</si>
  <si>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</si>
  <si>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</si>
  <si>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</si>
  <si>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</si>
  <si>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</si>
  <si>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</si>
  <si>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</si>
  <si>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</si>
  <si>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</si>
  <si>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</si>
  <si>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</si>
  <si>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</si>
  <si>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</si>
  <si>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</si>
  <si>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</si>
  <si>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</si>
  <si>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</si>
  <si>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</si>
  <si>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</si>
  <si>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</si>
  <si>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</si>
  <si>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</si>
  <si>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</si>
  <si>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</si>
  <si>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</si>
  <si>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</si>
  <si>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</si>
  <si>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</si>
  <si>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</si>
  <si>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</si>
  <si>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</si>
  <si>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</si>
  <si>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</si>
  <si>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</si>
  <si>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</si>
  <si>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</si>
  <si>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</si>
  <si>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</si>
  <si>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</si>
  <si>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</si>
  <si>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</si>
  <si>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</si>
  <si>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</si>
  <si>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</si>
  <si>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</si>
  <si>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</si>
  <si>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</si>
  <si>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</si>
  <si>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</si>
  <si>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</si>
  <si>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</si>
  <si>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</si>
  <si>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</si>
  <si>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</si>
  <si>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</si>
  <si>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</si>
  <si>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</si>
  <si>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</si>
  <si>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</si>
  <si>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</si>
  <si>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</si>
  <si>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</si>
  <si>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</si>
  <si>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</si>
  <si>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</si>
  <si>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</si>
  <si>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</si>
  <si>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</si>
  <si>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</si>
  <si>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</si>
  <si>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</si>
  <si>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</si>
  <si>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</si>
  <si>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</si>
  <si>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</si>
  <si>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</si>
  <si>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</si>
  <si>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</si>
  <si>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</si>
  <si>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</si>
  <si>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</si>
  <si>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</si>
  <si>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</si>
  <si>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</si>
  <si>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</si>
  <si>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</si>
  <si>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</si>
  <si>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</si>
  <si>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</si>
  <si>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</si>
  <si>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</si>
  <si>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</si>
  <si>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</si>
  <si>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</si>
  <si>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</si>
  <si>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</si>
  <si>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</si>
  <si>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</si>
  <si>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</si>
  <si>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</si>
  <si>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</si>
  <si>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</si>
  <si>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</si>
  <si>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</si>
  <si>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</si>
  <si>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</si>
  <si>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</si>
  <si>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</si>
  <si>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</si>
  <si>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</si>
  <si>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</si>
  <si>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</si>
  <si>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</si>
  <si>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</si>
  <si>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</si>
  <si>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</si>
  <si>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</si>
  <si>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</si>
  <si>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</si>
  <si>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</si>
  <si>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</si>
  <si>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</si>
  <si>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</si>
  <si>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</si>
  <si>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</si>
  <si>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</si>
  <si>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</si>
  <si>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</si>
  <si>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</si>
  <si>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</si>
  <si>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</si>
  <si>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</si>
  <si>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</si>
  <si>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</si>
  <si>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</si>
  <si>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</si>
  <si>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</si>
  <si>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</si>
  <si>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</si>
  <si>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</si>
  <si>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</si>
  <si>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</si>
  <si>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</si>
  <si>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</si>
  <si>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</si>
  <si>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</si>
  <si>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</si>
  <si>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</si>
  <si>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</si>
  <si>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</si>
  <si>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</si>
  <si>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</si>
  <si>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</si>
  <si>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</si>
  <si>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</si>
  <si>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</si>
  <si>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</si>
  <si>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</si>
  <si>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</si>
  <si>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</si>
  <si>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</si>
  <si>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</si>
  <si>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</si>
  <si>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</si>
  <si>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</si>
  <si>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</si>
  <si>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</si>
  <si>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</si>
  <si>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</si>
  <si>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</si>
  <si>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</si>
  <si>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</si>
  <si>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</si>
  <si>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</si>
  <si>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</si>
  <si>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</si>
  <si>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</si>
  <si>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</si>
  <si>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</si>
  <si>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</si>
  <si>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</si>
  <si>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</si>
  <si>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</si>
  <si>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</si>
  <si>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</si>
  <si>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</si>
  <si>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</si>
  <si>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</si>
  <si>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</si>
  <si>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</si>
  <si>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</si>
  <si>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</si>
  <si>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</si>
  <si>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</si>
  <si>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</si>
  <si>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</si>
  <si>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</si>
  <si>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</si>
  <si>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</si>
  <si>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</si>
  <si>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</si>
  <si>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</si>
  <si>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</si>
  <si>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</si>
  <si>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</si>
  <si>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</si>
  <si>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</si>
  <si>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</si>
  <si>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</si>
  <si>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</si>
  <si>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</si>
  <si>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</si>
  <si>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</si>
  <si>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</si>
  <si>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</si>
  <si>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</si>
  <si>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</si>
  <si>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</si>
  <si>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</si>
  <si>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</si>
  <si>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</si>
  <si>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</si>
  <si>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</si>
  <si>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</si>
  <si>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</si>
  <si>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</si>
  <si>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</si>
  <si>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</si>
  <si>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</si>
  <si>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</si>
  <si>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</si>
  <si>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</si>
  <si>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</si>
  <si>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</si>
  <si>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</si>
  <si>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</si>
  <si>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</si>
  <si>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</si>
  <si>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</si>
  <si>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</si>
  <si>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</si>
  <si>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</si>
  <si>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</si>
  <si>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</si>
  <si>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</si>
  <si>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</si>
  <si>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</si>
  <si>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</si>
  <si>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</si>
  <si>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</si>
  <si>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</si>
  <si>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</si>
  <si>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</si>
  <si>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</si>
  <si>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</si>
  <si>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</si>
  <si>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</si>
  <si>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</si>
  <si>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</si>
  <si>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</si>
  <si>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</si>
  <si>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</si>
  <si>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</si>
  <si>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</si>
  <si>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</si>
  <si>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</si>
  <si>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</si>
  <si>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</si>
  <si>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</si>
  <si>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</si>
  <si>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</si>
  <si>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</si>
  <si>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</si>
  <si>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</si>
  <si>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</si>
  <si>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</si>
  <si>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</si>
  <si>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</si>
  <si>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</si>
  <si>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</si>
  <si>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</si>
  <si>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</si>
  <si>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</si>
  <si>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</si>
  <si>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</si>
  <si>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</si>
  <si>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</si>
  <si>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</si>
  <si>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</si>
  <si>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</si>
  <si>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</si>
  <si>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</si>
  <si>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</si>
  <si>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</si>
  <si>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</si>
  <si>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</si>
  <si>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</si>
  <si>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</si>
  <si>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</si>
  <si>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</si>
  <si>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</si>
  <si>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</si>
  <si>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</si>
  <si>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</si>
  <si>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</si>
  <si>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</si>
  <si>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</si>
  <si>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</si>
  <si>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</si>
  <si>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</si>
  <si>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</si>
  <si>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</si>
  <si>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</si>
  <si>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</si>
  <si>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</si>
  <si>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</si>
  <si>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</si>
  <si>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</si>
  <si>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</si>
  <si>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</si>
  <si>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</si>
  <si>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</si>
  <si>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</si>
  <si>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</si>
  <si>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</si>
  <si>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</si>
  <si>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</si>
  <si>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</si>
  <si>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</si>
  <si>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</si>
  <si>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</si>
  <si>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</si>
  <si>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</si>
  <si>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</si>
  <si>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</si>
  <si>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</si>
  <si>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</si>
  <si>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</si>
  <si>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</si>
  <si>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</si>
  <si>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</si>
  <si>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</si>
  <si>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</si>
  <si>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</si>
  <si>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</si>
  <si>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</si>
  <si>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</si>
  <si>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</si>
  <si>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</si>
  <si>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</si>
  <si>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</si>
  <si>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</si>
  <si>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</si>
  <si>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</si>
  <si>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</si>
  <si>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</si>
  <si>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</si>
  <si>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</si>
  <si>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</si>
  <si>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</si>
  <si>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</si>
  <si>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</si>
  <si>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</si>
  <si>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</si>
  <si>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</si>
  <si>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</si>
  <si>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</si>
  <si>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</si>
  <si>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</si>
  <si>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</si>
  <si>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</si>
  <si>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</si>
  <si>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</si>
  <si>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</si>
  <si>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</si>
  <si>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</si>
  <si>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</si>
  <si>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</si>
  <si>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</si>
  <si>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</si>
  <si>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</si>
  <si>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</si>
  <si>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</si>
  <si>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</si>
  <si>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</si>
  <si>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</si>
  <si>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</si>
  <si>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</si>
  <si>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</si>
  <si>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</si>
  <si>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</si>
  <si>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</si>
  <si>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</si>
  <si>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</si>
  <si>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</si>
  <si>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</si>
  <si>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</si>
  <si>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</si>
  <si>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</si>
  <si>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</si>
  <si>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</si>
  <si>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</si>
  <si>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</si>
  <si>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</si>
  <si>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</si>
  <si>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</si>
  <si>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</si>
  <si>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</si>
  <si>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</si>
  <si>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</si>
  <si>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</si>
  <si>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</si>
  <si>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</si>
  <si>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</si>
  <si>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</si>
  <si>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</si>
  <si>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</si>
  <si>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</si>
  <si>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</si>
  <si>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</si>
  <si>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</si>
  <si>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</si>
  <si>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</si>
  <si>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</si>
  <si>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</si>
  <si>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</si>
  <si>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</si>
  <si>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</si>
  <si>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</si>
  <si>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</si>
  <si>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</si>
  <si>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</si>
  <si>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</si>
  <si>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</si>
  <si>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</si>
  <si>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</si>
  <si>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</si>
  <si>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</si>
  <si>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</si>
  <si>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</si>
  <si>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</si>
  <si>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</si>
  <si>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</si>
  <si>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</si>
  <si>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</si>
  <si>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</si>
  <si>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</si>
  <si>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</si>
  <si>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</si>
  <si>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</si>
  <si>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</si>
  <si>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</si>
  <si>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</si>
  <si>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</si>
  <si>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</si>
  <si>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</si>
  <si>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</si>
  <si>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</si>
  <si>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</si>
  <si>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</si>
  <si>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</si>
  <si>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</si>
  <si>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</si>
  <si>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</si>
  <si>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</si>
  <si>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</si>
  <si>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</si>
  <si>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</si>
  <si>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</si>
  <si>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</si>
  <si>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</si>
  <si>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</si>
  <si>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</si>
  <si>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</si>
  <si>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</si>
  <si>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</si>
  <si>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</si>
  <si>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</si>
  <si>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</si>
  <si>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</si>
  <si>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</si>
  <si>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</si>
  <si>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</si>
  <si>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</si>
  <si>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</si>
  <si>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</si>
  <si>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</si>
  <si>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</si>
  <si>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</si>
  <si>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</si>
  <si>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</si>
  <si>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</si>
  <si>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</si>
  <si>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</si>
  <si>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</si>
  <si>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</si>
  <si>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</si>
  <si>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</si>
  <si>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</si>
  <si>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</si>
  <si>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</si>
  <si>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</si>
  <si>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</si>
  <si>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</si>
  <si>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</si>
  <si>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</si>
  <si>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</si>
  <si>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</si>
  <si>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</si>
  <si>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</si>
  <si>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</si>
  <si>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</si>
  <si>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</si>
  <si>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</si>
  <si>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</si>
  <si>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</si>
  <si>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</si>
  <si>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</si>
  <si>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</si>
  <si>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</si>
  <si>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</si>
  <si>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</si>
  <si>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</si>
  <si>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</si>
  <si>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</si>
  <si>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</si>
  <si>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</si>
  <si>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</si>
  <si>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</si>
  <si>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</si>
  <si>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</si>
  <si>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</si>
  <si>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</si>
  <si>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</si>
  <si>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</si>
  <si>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</si>
  <si>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</si>
  <si>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</si>
  <si>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</si>
  <si>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</si>
  <si>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</si>
  <si>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</si>
  <si>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</si>
  <si>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</si>
  <si>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</si>
  <si>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</si>
  <si>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</si>
  <si>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</si>
  <si>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</si>
  <si>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</si>
  <si>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</si>
  <si>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</si>
  <si>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</si>
  <si>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</si>
  <si>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</si>
  <si>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</si>
  <si>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</si>
  <si>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</si>
  <si>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</si>
  <si>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</si>
  <si>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</si>
  <si>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</si>
  <si>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</si>
  <si>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</si>
  <si>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</si>
  <si>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</si>
  <si>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</si>
  <si>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</si>
  <si>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</si>
  <si>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</si>
  <si>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</si>
  <si>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</si>
  <si>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</si>
  <si>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</si>
  <si>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</si>
  <si>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</si>
  <si>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</si>
  <si>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</si>
  <si>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</si>
  <si>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</si>
  <si>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</si>
  <si>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</si>
  <si>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</si>
  <si>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</si>
  <si>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</si>
  <si>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</si>
  <si>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</si>
  <si>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</si>
  <si>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</si>
  <si>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</si>
  <si>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</si>
  <si>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</si>
  <si>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</si>
  <si>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</si>
  <si>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</si>
  <si>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</si>
  <si>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</si>
  <si>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</si>
  <si>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</si>
  <si>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</si>
  <si>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</si>
  <si>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</si>
  <si>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</si>
  <si>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</si>
  <si>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</si>
  <si>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</si>
  <si>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</si>
  <si>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</si>
  <si>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</si>
  <si>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</si>
  <si>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</si>
  <si>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</si>
  <si>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</si>
  <si>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</si>
  <si>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</si>
  <si>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</si>
  <si>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</si>
  <si>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</si>
  <si>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</si>
  <si>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</si>
  <si>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</si>
  <si>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</si>
  <si>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</si>
  <si>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</si>
  <si>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</si>
  <si>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</si>
  <si>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</si>
  <si>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</si>
  <si>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</si>
  <si>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</si>
  <si>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</si>
  <si>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</si>
  <si>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</si>
  <si>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</si>
  <si>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</si>
  <si>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</si>
  <si>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</si>
  <si>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</si>
  <si>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</si>
  <si>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</si>
  <si>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</si>
  <si>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</si>
  <si>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</si>
  <si>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</si>
  <si>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</si>
  <si>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</si>
  <si>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</si>
  <si>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</si>
  <si>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</si>
  <si>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</si>
  <si>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</si>
  <si>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</si>
  <si>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</si>
  <si>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</si>
  <si>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</si>
  <si>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</si>
  <si>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</si>
  <si>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</si>
  <si>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</si>
  <si>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</si>
  <si>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</si>
  <si>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</si>
  <si>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</si>
  <si>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</si>
  <si>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</si>
  <si>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</si>
  <si>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</si>
  <si>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</si>
  <si>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</si>
  <si>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</si>
  <si>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</si>
  <si>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</si>
  <si>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</si>
  <si>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</si>
  <si>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</si>
  <si>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</si>
  <si>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</si>
  <si>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</si>
  <si>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</si>
  <si>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</si>
  <si>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</si>
  <si>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</si>
  <si>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</si>
  <si>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</si>
  <si>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</si>
  <si>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</si>
  <si>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</si>
  <si>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</si>
  <si>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</si>
  <si>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</si>
  <si>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</si>
  <si>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</si>
  <si>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</si>
  <si>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</si>
  <si>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</si>
  <si>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</si>
  <si>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</si>
  <si>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</si>
  <si>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</si>
  <si>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</si>
  <si>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</si>
  <si>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</si>
  <si>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</si>
  <si>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</si>
  <si>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</si>
  <si>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</si>
  <si>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</si>
  <si>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</si>
  <si>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</si>
  <si>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</si>
  <si>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</si>
  <si>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</si>
  <si>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</si>
  <si>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</si>
  <si>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</si>
  <si>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</si>
  <si>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</si>
  <si>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</si>
  <si>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</si>
  <si>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</si>
  <si>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</si>
  <si>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</si>
  <si>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</si>
  <si>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</si>
  <si>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</si>
  <si>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</si>
  <si>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</si>
  <si>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</si>
  <si>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</si>
  <si>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</si>
  <si>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</si>
  <si>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</si>
  <si>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</si>
  <si>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</si>
  <si>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</si>
  <si>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</si>
  <si>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</si>
  <si>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</si>
  <si>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</si>
  <si>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</si>
  <si>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</si>
  <si>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</si>
  <si>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</si>
  <si>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</si>
  <si>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</si>
  <si>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</si>
  <si>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</si>
  <si>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</si>
  <si>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</si>
  <si>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</si>
  <si>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</si>
  <si>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</si>
  <si>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</si>
  <si>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</si>
  <si>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</si>
  <si>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</si>
  <si>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</si>
  <si>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</si>
  <si>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</si>
  <si>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</si>
  <si>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</si>
  <si>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</si>
  <si>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</si>
  <si>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</si>
  <si>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</si>
  <si>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</si>
  <si>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</si>
  <si>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</si>
  <si>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</si>
  <si>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</si>
  <si>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</si>
  <si>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</si>
  <si>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</si>
  <si>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</si>
  <si>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</si>
  <si>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</si>
  <si>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</si>
  <si>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</si>
  <si>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</si>
  <si>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</si>
  <si>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</si>
  <si>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</si>
  <si>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</si>
  <si>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</si>
  <si>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</si>
  <si>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</si>
  <si>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</si>
  <si>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</si>
  <si>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</si>
  <si>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</si>
  <si>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</si>
  <si>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</si>
  <si>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</si>
  <si>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</si>
  <si>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</si>
  <si>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</si>
  <si>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</si>
  <si>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</si>
  <si>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</si>
  <si>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</si>
  <si>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</si>
  <si>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</si>
  <si>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</si>
  <si>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</si>
  <si>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</si>
  <si>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</si>
  <si>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</si>
  <si>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</si>
  <si>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</si>
  <si>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</si>
  <si>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</si>
  <si>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</si>
  <si>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</si>
  <si>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</si>
  <si>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</si>
  <si>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</si>
  <si>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</si>
  <si>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</si>
  <si>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</si>
  <si>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</si>
  <si>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</si>
  <si>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</si>
  <si>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</si>
  <si>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</si>
  <si>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</si>
  <si>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</si>
  <si>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</si>
  <si>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</si>
  <si>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</si>
  <si>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</si>
  <si>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</si>
  <si>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</si>
  <si>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</si>
  <si>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</si>
  <si>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</si>
  <si>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</si>
  <si>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</si>
  <si>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</si>
  <si>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</si>
  <si>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</si>
  <si>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</si>
  <si>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</si>
  <si>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</si>
  <si>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</si>
  <si>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</si>
  <si>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</si>
  <si>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</si>
  <si>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</si>
  <si>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</si>
  <si>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</si>
  <si>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</si>
  <si>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</si>
  <si>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</si>
  <si>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</si>
  <si>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</si>
  <si>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</si>
  <si>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</si>
  <si>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</si>
  <si>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</si>
  <si>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</si>
  <si>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</si>
  <si>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</si>
  <si>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</si>
  <si>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</si>
  <si>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</si>
  <si>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</si>
  <si>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</si>
  <si>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</si>
  <si>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</si>
  <si>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</si>
  <si>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</si>
  <si>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</si>
  <si>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</si>
  <si>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</si>
  <si>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</si>
  <si>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</si>
  <si>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</si>
  <si>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</si>
  <si>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</si>
  <si>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</si>
  <si>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</si>
  <si>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</si>
  <si>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</si>
  <si>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</si>
  <si>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</si>
  <si>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</si>
  <si>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</si>
  <si>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</si>
  <si>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</si>
  <si>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</si>
  <si>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</si>
  <si>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</si>
  <si>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</si>
  <si>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</si>
  <si>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</si>
  <si>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</si>
  <si>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</si>
  <si>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</si>
  <si>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</si>
  <si>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</si>
  <si>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</si>
  <si>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</si>
  <si>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</si>
  <si>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</si>
  <si>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</si>
  <si>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</si>
  <si>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</si>
  <si>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</si>
  <si>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</si>
  <si>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</si>
  <si>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</si>
  <si>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</si>
  <si>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</si>
  <si>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</si>
  <si>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</si>
  <si>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</si>
  <si>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</si>
  <si>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</si>
  <si>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</si>
  <si>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</si>
  <si>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</si>
  <si>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</si>
  <si>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</si>
  <si>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</si>
  <si>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</si>
  <si>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</si>
  <si>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</si>
  <si>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</si>
  <si>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</si>
  <si>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</si>
  <si>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</si>
  <si>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</si>
  <si>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</si>
  <si>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</si>
  <si>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</si>
  <si>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</si>
  <si>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</si>
  <si>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</si>
  <si>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</si>
  <si>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</si>
  <si>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</si>
  <si>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</si>
  <si>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</si>
  <si>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</si>
  <si>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</si>
  <si>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</si>
  <si>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</si>
  <si>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</si>
  <si>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</si>
  <si>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</si>
  <si>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</si>
  <si>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</si>
  <si>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</si>
  <si>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</si>
  <si>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</si>
  <si>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</si>
  <si>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</si>
  <si>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</si>
  <si>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</si>
  <si>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</si>
  <si>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</si>
  <si>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</si>
  <si>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</si>
  <si>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</si>
  <si>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</si>
  <si>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</si>
  <si>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</si>
  <si>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</si>
  <si>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</si>
  <si>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</si>
  <si>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</si>
  <si>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</si>
  <si>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</si>
  <si>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</si>
  <si>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</si>
  <si>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</si>
  <si>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</si>
  <si>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</si>
  <si>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</si>
  <si>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</si>
  <si>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</si>
  <si>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</si>
  <si>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</si>
  <si>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</si>
  <si>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</si>
  <si>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</si>
  <si>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</si>
  <si>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</si>
  <si>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</si>
  <si>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</si>
  <si>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</si>
  <si>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</si>
  <si>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</si>
  <si>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</si>
  <si>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</si>
  <si>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</si>
  <si>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</si>
  <si>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</si>
  <si>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</si>
  <si>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</si>
  <si>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</si>
  <si>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</si>
  <si>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</si>
  <si>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</si>
  <si>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</si>
  <si>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</si>
  <si>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</si>
  <si>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</si>
  <si>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</si>
  <si>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</si>
  <si>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</si>
  <si>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</si>
  <si>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</si>
  <si>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</si>
  <si>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</si>
  <si>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</si>
  <si>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</si>
  <si>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</si>
  <si>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</si>
  <si>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</si>
  <si>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</si>
  <si>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</si>
  <si>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</si>
  <si>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</si>
  <si>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</si>
  <si>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</si>
  <si>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</si>
  <si>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</si>
  <si>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</si>
  <si>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</si>
  <si>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</si>
  <si>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</si>
  <si>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</si>
  <si>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</si>
  <si>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</si>
  <si>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</si>
  <si>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</si>
  <si>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</si>
  <si>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</si>
  <si>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</si>
  <si>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</si>
  <si>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</si>
  <si>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</si>
  <si>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</si>
  <si>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</si>
  <si>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</si>
  <si>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</si>
  <si>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</si>
  <si>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</si>
  <si>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</si>
  <si>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</si>
  <si>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</si>
  <si>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</si>
  <si>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</si>
  <si>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</si>
  <si>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</si>
  <si>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</si>
  <si>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</si>
  <si>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</si>
  <si>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</si>
  <si>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</si>
  <si>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</si>
  <si>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</si>
  <si>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</si>
  <si>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</si>
  <si>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</si>
  <si>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</si>
  <si>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</si>
  <si>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</si>
  <si>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</si>
  <si>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</si>
  <si>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</si>
  <si>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</si>
  <si>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</si>
  <si>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</si>
  <si>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</si>
  <si>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</si>
  <si>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</si>
  <si>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</si>
  <si>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</si>
  <si>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</si>
  <si>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</si>
  <si>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</si>
  <si>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</si>
  <si>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</si>
  <si>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</si>
  <si>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</si>
  <si>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</si>
  <si>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</si>
  <si>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</si>
  <si>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</si>
  <si>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</si>
  <si>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</si>
  <si>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</si>
  <si>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</si>
  <si>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</si>
  <si>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</si>
  <si>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</si>
  <si>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</si>
  <si>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</si>
  <si>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</si>
  <si>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</si>
  <si>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</si>
  <si>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</si>
  <si>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</si>
  <si>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</si>
  <si>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</si>
  <si>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</si>
  <si>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</si>
  <si>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</si>
  <si>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</si>
  <si>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</si>
  <si>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</si>
  <si>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</si>
  <si>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</si>
  <si>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</si>
  <si>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</si>
  <si>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</si>
  <si>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</si>
  <si>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</si>
  <si>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</si>
  <si>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</si>
  <si>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</si>
  <si>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</si>
  <si>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</si>
  <si>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</si>
  <si>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</si>
  <si>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</si>
  <si>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</si>
  <si>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</si>
  <si>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</si>
  <si>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</si>
  <si>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</si>
  <si>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</si>
  <si>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</si>
  <si>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</si>
  <si>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</si>
  <si>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</si>
  <si>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</si>
  <si>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</si>
  <si>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</si>
  <si>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</si>
  <si>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</si>
  <si>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</si>
  <si>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</si>
  <si>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</si>
  <si>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</si>
  <si>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</si>
  <si>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</si>
  <si>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</si>
  <si>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</si>
  <si>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</si>
  <si>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</si>
  <si>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</si>
  <si>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</si>
  <si>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</si>
  <si>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</si>
  <si>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</si>
  <si>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</si>
  <si>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</si>
  <si>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</si>
  <si>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</si>
  <si>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</si>
  <si>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</si>
  <si>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</si>
  <si>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</si>
  <si>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</si>
  <si>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</si>
  <si>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</si>
  <si>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</si>
  <si>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</si>
  <si>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</si>
  <si>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</si>
  <si>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</si>
  <si>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</si>
  <si>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</si>
  <si>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</si>
  <si>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</si>
  <si>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</si>
  <si>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</si>
  <si>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</si>
  <si>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</si>
  <si>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</si>
  <si>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</si>
  <si>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</si>
  <si>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</si>
  <si>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</si>
  <si>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</si>
  <si>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</si>
  <si>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</si>
  <si>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</si>
  <si>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</si>
  <si>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</si>
  <si>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</si>
  <si>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</si>
  <si>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</si>
  <si>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</si>
  <si>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</si>
  <si>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</si>
  <si>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</si>
  <si>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</si>
  <si>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</si>
  <si>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</si>
  <si>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</si>
  <si>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</si>
  <si>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</si>
  <si>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</si>
  <si>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</si>
  <si>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</si>
  <si>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</si>
  <si>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</si>
  <si>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</si>
  <si>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</si>
  <si>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</si>
  <si>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</si>
  <si>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</si>
  <si>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</si>
  <si>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</si>
  <si>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</si>
  <si>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</si>
  <si>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</si>
  <si>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</si>
  <si>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</si>
  <si>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</si>
  <si>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</si>
  <si>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</si>
  <si>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</si>
  <si>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</si>
  <si>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</si>
  <si>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</si>
  <si>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</si>
  <si>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</si>
  <si>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</si>
  <si>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</si>
  <si>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</si>
  <si>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</si>
  <si>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</si>
  <si>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</si>
  <si>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</si>
  <si>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</si>
  <si>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</si>
  <si>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</si>
  <si>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</si>
  <si>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</si>
  <si>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</si>
  <si>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</si>
  <si>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</si>
  <si>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</si>
  <si>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</si>
  <si>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</si>
  <si>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</si>
  <si>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</si>
  <si>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</si>
  <si>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</si>
  <si>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</si>
  <si>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</si>
  <si>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</si>
  <si>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</si>
  <si>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</si>
  <si>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</si>
  <si>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</si>
  <si>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</si>
  <si>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</si>
  <si>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</si>
  <si>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</si>
  <si>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</si>
  <si>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</si>
  <si>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</si>
  <si>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</si>
  <si>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</si>
  <si>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</si>
  <si>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</si>
  <si>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</si>
  <si>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</si>
  <si>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</si>
  <si>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</si>
  <si>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</si>
  <si>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</si>
  <si>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</si>
  <si>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</si>
  <si>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</si>
  <si>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</si>
  <si>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</si>
  <si>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</si>
  <si>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</si>
  <si>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</si>
  <si>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</si>
  <si>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</si>
  <si>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</si>
  <si>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</si>
  <si>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</si>
  <si>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</si>
  <si>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</si>
  <si>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</si>
  <si>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</si>
  <si>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</si>
  <si>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</si>
  <si>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</si>
  <si>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</si>
  <si>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</si>
  <si>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</si>
  <si>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</si>
  <si>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</si>
  <si>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</si>
  <si>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</si>
  <si>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</si>
  <si>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</si>
  <si>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</si>
  <si>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</si>
  <si>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</si>
  <si>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</si>
  <si>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</si>
  <si>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</si>
  <si>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</si>
  <si>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</si>
  <si>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</si>
  <si>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</si>
  <si>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</si>
  <si>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</si>
  <si>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</si>
  <si>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</si>
  <si>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</si>
  <si>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</si>
  <si>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</si>
  <si>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</si>
  <si>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</si>
  <si>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</si>
  <si>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</si>
  <si>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</si>
  <si>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</si>
  <si>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</si>
  <si>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</si>
  <si>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</si>
  <si>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</si>
  <si>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</si>
  <si>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</si>
  <si>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</si>
  <si>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</si>
  <si>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</si>
  <si>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</si>
  <si>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</si>
  <si>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</si>
  <si>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</si>
  <si>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</si>
  <si>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</si>
  <si>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</si>
  <si>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</si>
  <si>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</si>
  <si>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</si>
  <si>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</si>
  <si>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</si>
  <si>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</si>
  <si>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</si>
  <si>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</si>
  <si>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</si>
  <si>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</si>
  <si>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</si>
  <si>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</si>
  <si>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</si>
  <si>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</si>
  <si>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</si>
  <si>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</si>
  <si>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</si>
  <si>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</si>
  <si>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</si>
  <si>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</si>
  <si>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</si>
  <si>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</si>
  <si>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</si>
  <si>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</si>
  <si>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</si>
  <si>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</si>
  <si>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</si>
  <si>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</si>
  <si>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</si>
  <si>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</si>
  <si>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</si>
  <si>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</si>
  <si>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</si>
  <si>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</si>
  <si>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</si>
  <si>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</si>
  <si>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</si>
  <si>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</si>
  <si>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</si>
  <si>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</si>
  <si>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</si>
  <si>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</si>
  <si>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</si>
  <si>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</si>
  <si>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</si>
  <si>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</si>
  <si>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</si>
  <si>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</si>
  <si>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</si>
  <si>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</si>
  <si>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</si>
  <si>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</si>
  <si>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</si>
  <si>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</si>
  <si>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</si>
  <si>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</si>
  <si>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</si>
  <si>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</si>
  <si>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</si>
  <si>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</si>
  <si>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</si>
  <si>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</si>
  <si>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</si>
  <si>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</si>
  <si>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</si>
  <si>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</si>
  <si>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</si>
  <si>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</si>
  <si>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</si>
  <si>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</si>
  <si>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</si>
  <si>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</si>
  <si>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</si>
  <si>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</si>
  <si>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</si>
  <si>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</si>
  <si>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</si>
  <si>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</si>
  <si>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</si>
  <si>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</si>
  <si>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</si>
  <si>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</si>
  <si>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</si>
  <si>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</si>
  <si>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</si>
  <si>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</si>
  <si>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</si>
  <si>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</si>
  <si>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</si>
  <si>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</si>
  <si>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</si>
  <si>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</si>
  <si>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</si>
  <si>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</si>
  <si>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</si>
  <si>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</si>
  <si>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</si>
  <si>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</si>
  <si>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</si>
  <si>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</si>
  <si>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</si>
  <si>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</si>
  <si>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</si>
  <si>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</si>
  <si>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</si>
  <si>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</si>
  <si>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</si>
  <si>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</si>
  <si>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</si>
  <si>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</si>
  <si>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</si>
  <si>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</si>
  <si>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</si>
  <si>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</si>
  <si>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</si>
  <si>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</si>
  <si>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</si>
  <si>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</si>
  <si>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</si>
  <si>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</si>
  <si>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</si>
  <si>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</si>
  <si>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</si>
  <si>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</si>
  <si>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</si>
  <si>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</si>
  <si>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</si>
  <si>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</si>
  <si>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</si>
  <si>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</si>
  <si>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</si>
  <si>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</si>
  <si>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</si>
  <si>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</si>
  <si>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</si>
  <si>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</si>
  <si>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</si>
  <si>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</si>
  <si>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</si>
  <si>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</si>
  <si>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</si>
  <si>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</si>
  <si>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</si>
  <si>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</si>
  <si>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</si>
  <si>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</si>
  <si>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</si>
  <si>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</si>
  <si>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</si>
  <si>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</si>
  <si>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</si>
  <si>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</si>
  <si>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</si>
  <si>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</si>
  <si>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</si>
  <si>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</si>
  <si>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</si>
  <si>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</si>
  <si>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</si>
  <si>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</si>
  <si>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</si>
  <si>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</si>
  <si>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</si>
  <si>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</si>
  <si>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</si>
  <si>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</si>
  <si>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</si>
  <si>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</si>
  <si>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</si>
  <si>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</si>
  <si>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</si>
  <si>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</si>
  <si>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</si>
  <si>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</si>
  <si>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</si>
  <si>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</si>
  <si>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</si>
  <si>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</si>
  <si>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</si>
  <si>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</si>
  <si>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</si>
  <si>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</si>
  <si>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</si>
  <si>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</si>
  <si>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</si>
  <si>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</si>
  <si>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</si>
  <si>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</si>
  <si>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</si>
  <si>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</si>
  <si>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</si>
  <si>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</si>
  <si>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</si>
  <si>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</si>
  <si>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</si>
  <si>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</si>
  <si>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</si>
  <si>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</si>
  <si>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</si>
  <si>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</si>
  <si>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</si>
  <si>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</si>
  <si>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</si>
  <si>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</si>
  <si>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</si>
  <si>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</si>
  <si>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</si>
  <si>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</si>
  <si>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</si>
  <si>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</si>
  <si>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</si>
  <si>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</si>
  <si>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</si>
  <si>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</si>
  <si>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</si>
  <si>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</si>
  <si>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</si>
  <si>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</si>
  <si>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</si>
  <si>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</si>
  <si>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</si>
  <si>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</si>
  <si>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</si>
  <si>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</si>
  <si>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</si>
  <si>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</si>
  <si>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</si>
  <si>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</si>
  <si>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</si>
  <si>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</si>
  <si>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</si>
  <si>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</si>
  <si>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</si>
  <si>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</si>
  <si>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</si>
  <si>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</si>
  <si>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</si>
  <si>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</si>
  <si>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</si>
  <si>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</si>
  <si>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</si>
  <si>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</si>
  <si>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</si>
  <si>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</si>
  <si>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</si>
  <si>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</si>
  <si>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</si>
  <si>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</si>
  <si>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</si>
  <si>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</si>
  <si>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</si>
  <si>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</si>
  <si>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</si>
  <si>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</si>
  <si>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</si>
  <si>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</si>
  <si>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</si>
  <si>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</si>
  <si>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</si>
  <si>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</si>
  <si>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</si>
  <si>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</si>
  <si>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</si>
  <si>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</si>
  <si>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</si>
  <si>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</si>
  <si>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</si>
  <si>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</si>
  <si>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</si>
  <si>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</si>
  <si>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</si>
  <si>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</si>
  <si>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</si>
  <si>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</si>
  <si>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</si>
  <si>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</si>
  <si>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</si>
  <si>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</si>
  <si>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</si>
  <si>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</si>
  <si>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</si>
  <si>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</si>
  <si>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</si>
  <si>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</si>
  <si>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</si>
  <si>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</si>
  <si>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</si>
  <si>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</si>
  <si>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</si>
  <si>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</si>
  <si>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</si>
  <si>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</si>
  <si>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</si>
  <si>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</si>
  <si>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</si>
  <si>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</si>
  <si>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</si>
  <si>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</si>
  <si>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</si>
  <si>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</si>
  <si>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</si>
  <si>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</si>
  <si>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</si>
  <si>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</si>
  <si>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</si>
  <si>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</si>
  <si>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</si>
  <si>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</si>
  <si>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</si>
  <si>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</si>
  <si>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</si>
  <si>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</si>
  <si>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</si>
  <si>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</si>
  <si>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</si>
  <si>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</si>
  <si>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</si>
  <si>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</si>
  <si>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</si>
  <si>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</si>
  <si>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</si>
  <si>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</si>
  <si>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</si>
  <si>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</si>
  <si>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</si>
  <si>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</si>
  <si>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</si>
  <si>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</si>
  <si>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</si>
  <si>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</si>
  <si>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</si>
  <si>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</si>
  <si>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</si>
  <si>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</si>
  <si>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</si>
  <si>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</si>
  <si>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</si>
  <si>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</si>
  <si>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</si>
  <si>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</si>
  <si>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</si>
  <si>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</si>
  <si>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</si>
  <si>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</si>
  <si>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</si>
  <si>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</si>
  <si>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</si>
  <si>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</si>
  <si>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</si>
  <si>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</si>
  <si>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</si>
  <si>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</si>
  <si>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</si>
  <si>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</si>
  <si>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</si>
  <si>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</si>
  <si>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</si>
  <si>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</si>
  <si>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</si>
  <si>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</si>
  <si>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</si>
  <si>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</si>
  <si>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</si>
  <si>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</si>
  <si>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</si>
  <si>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</si>
  <si>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</si>
  <si>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</si>
  <si>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</si>
  <si>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</si>
  <si>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</si>
  <si>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</si>
  <si>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</si>
  <si>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</si>
  <si>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</si>
  <si>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</si>
  <si>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</si>
  <si>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</si>
  <si>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</si>
  <si>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</si>
  <si>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</si>
  <si>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</si>
  <si>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</si>
  <si>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</si>
  <si>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</si>
  <si>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</si>
  <si>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</si>
  <si>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</si>
  <si>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</si>
  <si>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</si>
  <si>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</si>
  <si>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</si>
  <si>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</si>
  <si>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</si>
  <si>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</si>
  <si>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</si>
  <si>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</si>
  <si>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</si>
  <si>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</si>
  <si>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</si>
  <si>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</si>
  <si>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</si>
  <si>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</si>
  <si>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</si>
  <si>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</si>
  <si>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</si>
  <si>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</si>
  <si>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</si>
  <si>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</si>
  <si>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</si>
  <si>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</si>
  <si>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</si>
  <si>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</si>
  <si>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</si>
  <si>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</si>
  <si>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</si>
  <si>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</si>
  <si>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</si>
  <si>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</si>
  <si>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</si>
  <si>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</si>
  <si>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</si>
  <si>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</si>
  <si>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</si>
  <si>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</si>
  <si>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</si>
  <si>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</si>
  <si>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</si>
  <si>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</si>
  <si>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</si>
  <si>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</si>
  <si>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</si>
  <si>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</si>
  <si>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</si>
  <si>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</si>
  <si>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</si>
  <si>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</si>
  <si>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</si>
  <si>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</si>
  <si>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</si>
  <si>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</si>
  <si>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</si>
  <si>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</si>
  <si>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</si>
  <si>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</si>
  <si>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</si>
  <si>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</si>
  <si>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</si>
  <si>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</si>
  <si>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</si>
  <si>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</si>
  <si>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</si>
  <si>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</si>
  <si>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</si>
  <si>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</si>
  <si>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</si>
  <si>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</si>
  <si>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</si>
  <si>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</si>
  <si>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</si>
  <si>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</si>
  <si>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</si>
  <si>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</si>
  <si>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</si>
  <si>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</si>
  <si>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</si>
  <si>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</si>
  <si>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</si>
  <si>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</si>
  <si>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</si>
  <si>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</si>
  <si>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</si>
  <si>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</si>
  <si>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</si>
  <si>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</si>
  <si>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</si>
  <si>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</si>
  <si>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</si>
  <si>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</si>
  <si>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</si>
  <si>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</si>
  <si>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</si>
  <si>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</si>
  <si>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</si>
  <si>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</si>
  <si>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</si>
  <si>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</si>
  <si>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</si>
  <si>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</si>
  <si>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</si>
  <si>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</si>
  <si>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</si>
  <si>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</si>
  <si>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</si>
  <si>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</si>
  <si>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</si>
  <si>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</si>
  <si>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</si>
  <si>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</si>
  <si>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</si>
  <si>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</si>
  <si>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</si>
  <si>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</si>
  <si>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</si>
  <si>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</si>
  <si>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</si>
  <si>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</si>
  <si>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</si>
  <si>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</si>
  <si>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</si>
  <si>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</si>
  <si>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</si>
  <si>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</si>
  <si>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</si>
  <si>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</si>
  <si>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</si>
  <si>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</si>
  <si>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</si>
  <si>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</si>
  <si>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</si>
  <si>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</si>
  <si>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</si>
  <si>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</si>
  <si>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</si>
  <si>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</si>
  <si>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</si>
  <si>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</si>
  <si>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</si>
  <si>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</si>
  <si>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</si>
  <si>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</si>
  <si>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</si>
  <si>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</si>
  <si>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</si>
  <si>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</si>
  <si>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</si>
  <si>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</si>
  <si>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</si>
  <si>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</si>
  <si>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</si>
  <si>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</si>
  <si>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</si>
  <si>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</si>
  <si>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</si>
  <si>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</si>
  <si>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</si>
  <si>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</si>
  <si>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</si>
  <si>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</si>
  <si>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</si>
  <si>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</si>
  <si>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</si>
  <si>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</si>
  <si>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</si>
  <si>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</si>
  <si>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</si>
  <si>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</si>
  <si>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</si>
  <si>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</si>
  <si>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</si>
  <si>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</si>
  <si>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</si>
  <si>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</si>
  <si>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</si>
  <si>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</si>
  <si>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</si>
  <si>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</si>
  <si>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</si>
  <si>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</si>
  <si>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</si>
  <si>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</si>
  <si>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</si>
  <si>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</si>
  <si>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</si>
  <si>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</si>
  <si>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</si>
  <si>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</si>
  <si>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</si>
  <si>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</si>
  <si>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</si>
  <si>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</si>
  <si>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</si>
  <si>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</si>
  <si>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</si>
  <si>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</si>
  <si>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</si>
  <si>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</si>
  <si>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</si>
  <si>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</si>
  <si>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</si>
  <si>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</si>
  <si>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</si>
  <si>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</si>
  <si>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</si>
  <si>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</si>
  <si>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</si>
  <si>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</si>
  <si>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</si>
  <si>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</si>
  <si>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</si>
  <si>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</si>
  <si>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</si>
  <si>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</si>
  <si>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</si>
  <si>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</si>
  <si>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</si>
  <si>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</si>
  <si>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</si>
  <si>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</si>
  <si>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</si>
  <si>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</si>
  <si>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</si>
  <si>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</si>
  <si>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</si>
  <si>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</si>
  <si>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</si>
  <si>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</si>
  <si>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</si>
  <si>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</si>
  <si>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</si>
  <si>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</si>
  <si>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</si>
  <si>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</si>
  <si>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</si>
  <si>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</si>
  <si>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</si>
  <si>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</si>
  <si>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</si>
  <si>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</si>
  <si>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</si>
  <si>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</si>
  <si>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</si>
  <si>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</si>
  <si>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</si>
  <si>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</si>
  <si>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</si>
  <si>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</si>
  <si>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</si>
  <si>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</si>
  <si>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</si>
  <si>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</si>
  <si>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</si>
  <si>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</si>
  <si>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</si>
  <si>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</si>
  <si>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</si>
  <si>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</si>
  <si>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</si>
  <si>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</si>
  <si>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</si>
  <si>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</si>
  <si>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</si>
  <si>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</si>
  <si>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</si>
  <si>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</si>
  <si>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</si>
  <si>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</si>
  <si>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</si>
  <si>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</si>
  <si>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</si>
  <si>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</si>
  <si>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</si>
  <si>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</si>
  <si>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</si>
  <si>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</si>
  <si>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</si>
  <si>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</si>
  <si>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</si>
  <si>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</si>
  <si>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</si>
  <si>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</si>
  <si>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</si>
  <si>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</si>
  <si>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</si>
  <si>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</si>
  <si>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</si>
  <si>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</si>
  <si>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</si>
  <si>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</si>
  <si>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</si>
  <si>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</si>
  <si>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</si>
  <si>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</si>
  <si>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</si>
  <si>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</si>
  <si>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</si>
  <si>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</si>
  <si>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</si>
  <si>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</si>
  <si>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</si>
  <si>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</si>
  <si>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</si>
  <si>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</si>
  <si>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</si>
  <si>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</si>
  <si>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</si>
  <si>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</si>
  <si>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</si>
  <si>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</si>
  <si>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</si>
  <si>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</si>
  <si>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</si>
  <si>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</si>
  <si>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</si>
  <si>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</si>
  <si>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</si>
  <si>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</si>
  <si>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</si>
  <si>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</si>
  <si>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</si>
  <si>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</si>
  <si>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</si>
  <si>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</si>
  <si>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</si>
  <si>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</si>
  <si>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</si>
  <si>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</si>
  <si>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</si>
  <si>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</si>
  <si>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</si>
  <si>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</si>
  <si>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</si>
  <si>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</si>
  <si>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</si>
  <si>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</si>
  <si>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</si>
  <si>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</si>
  <si>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</si>
  <si>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</si>
  <si>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</si>
  <si>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</si>
  <si>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</si>
  <si>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</si>
  <si>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</si>
  <si>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</si>
  <si>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</si>
  <si>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</si>
  <si>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</si>
  <si>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</si>
  <si>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</si>
  <si>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</si>
  <si>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</si>
  <si>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</si>
  <si>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</si>
  <si>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</si>
  <si>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</si>
  <si>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</si>
  <si>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</si>
  <si>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</si>
  <si>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</si>
  <si>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</si>
  <si>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</si>
  <si>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</si>
  <si>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</si>
  <si>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</si>
  <si>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</si>
  <si>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</si>
  <si>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</si>
  <si>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</si>
  <si>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</si>
  <si>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</si>
  <si>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</si>
  <si>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</si>
  <si>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</si>
  <si>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</si>
  <si>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</si>
  <si>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</si>
  <si>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</si>
  <si>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</si>
  <si>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</si>
  <si>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</si>
  <si>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</si>
  <si>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</si>
  <si>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</si>
  <si>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</si>
  <si>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</si>
  <si>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</si>
  <si>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</si>
  <si>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</si>
  <si>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</si>
  <si>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</si>
  <si>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</si>
  <si>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</si>
  <si>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</si>
  <si>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</si>
  <si>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</si>
  <si>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</si>
  <si>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</si>
  <si>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</si>
  <si>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</si>
  <si>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</si>
  <si>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</si>
  <si>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</si>
  <si>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</si>
  <si>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</si>
  <si>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</si>
  <si>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</si>
  <si>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</si>
  <si>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</si>
  <si>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</si>
  <si>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</si>
  <si>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</si>
  <si>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</si>
  <si>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</si>
  <si>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</si>
  <si>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</si>
  <si>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</si>
  <si>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</si>
  <si>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</si>
  <si>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</si>
  <si>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</si>
  <si>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</si>
  <si>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</si>
  <si>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</si>
  <si>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</si>
  <si>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</si>
  <si>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</si>
  <si>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</si>
  <si>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</si>
  <si>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</si>
  <si>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</si>
  <si>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</si>
  <si>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</si>
  <si>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</si>
  <si>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</si>
  <si>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</si>
  <si>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</si>
  <si>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</si>
  <si>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</si>
  <si>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</si>
  <si>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</si>
  <si>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</si>
  <si>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</si>
  <si>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</si>
  <si>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</si>
  <si>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</si>
  <si>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</si>
  <si>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</si>
  <si>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</si>
  <si>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</si>
  <si>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</si>
  <si>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</si>
  <si>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</si>
  <si>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</si>
  <si>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</si>
  <si>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</si>
  <si>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</si>
  <si>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</si>
  <si>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</si>
  <si>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</si>
  <si>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</si>
  <si>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</si>
  <si>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</si>
  <si>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</si>
  <si>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</si>
  <si>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</si>
  <si>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</si>
  <si>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</si>
  <si>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</si>
  <si>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</si>
  <si>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</si>
  <si>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</si>
  <si>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</si>
  <si>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</si>
  <si>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</si>
  <si>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</si>
  <si>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</si>
  <si>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</si>
  <si>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</si>
  <si>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</si>
  <si>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</si>
  <si>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</si>
  <si>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</si>
  <si>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</si>
  <si>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</si>
  <si>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</si>
  <si>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</si>
  <si>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</si>
  <si>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</si>
  <si>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</si>
  <si>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</si>
  <si>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</si>
  <si>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</si>
  <si>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</si>
  <si>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</si>
  <si>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</si>
  <si>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</si>
  <si>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</si>
  <si>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</si>
  <si>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</si>
  <si>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</si>
  <si>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</si>
  <si>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</si>
  <si>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</si>
  <si>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</si>
  <si>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</si>
  <si>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</si>
  <si>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</si>
  <si>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</si>
  <si>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</si>
  <si>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</si>
  <si>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</si>
  <si>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</si>
  <si>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</si>
  <si>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</si>
  <si>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</si>
  <si>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</si>
  <si>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</si>
  <si>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</si>
  <si>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</si>
  <si>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</si>
  <si>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</si>
  <si>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</si>
  <si>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</si>
  <si>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</si>
  <si>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</si>
  <si>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</si>
  <si>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</si>
  <si>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</si>
  <si>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</si>
  <si>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</si>
  <si>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</si>
  <si>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</si>
  <si>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</si>
  <si>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</si>
  <si>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</si>
  <si>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</si>
  <si>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</si>
  <si>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</si>
  <si>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</si>
  <si>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</si>
  <si>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</si>
  <si>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</si>
  <si>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</si>
  <si>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</si>
  <si>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</si>
  <si>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</si>
  <si>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</si>
  <si>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</si>
  <si>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</si>
  <si>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</si>
  <si>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</si>
  <si>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</si>
  <si>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</si>
  <si>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</si>
  <si>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</si>
  <si>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</si>
  <si>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</si>
  <si>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</si>
  <si>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</si>
  <si>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</si>
  <si>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</si>
  <si>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</si>
  <si>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</si>
  <si>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</si>
  <si>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</si>
  <si>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</si>
  <si>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</si>
  <si>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</si>
  <si>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</si>
  <si>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</si>
  <si>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</si>
  <si>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</si>
  <si>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</si>
  <si>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</si>
  <si>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</si>
  <si>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</si>
  <si>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</si>
  <si>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</si>
  <si>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</si>
  <si>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</si>
  <si>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</si>
  <si>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</si>
  <si>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</si>
  <si>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</si>
  <si>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</si>
  <si>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</si>
  <si>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</si>
  <si>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</si>
  <si>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</si>
  <si>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</si>
  <si>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</si>
  <si>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</si>
  <si>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</si>
  <si>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</si>
  <si>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</si>
  <si>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</si>
  <si>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</si>
  <si>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</si>
  <si>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</si>
  <si>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</si>
  <si>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</si>
  <si>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</si>
  <si>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</si>
  <si>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</si>
  <si>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</si>
  <si>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</si>
  <si>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</si>
  <si>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</si>
  <si>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</si>
  <si>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</si>
  <si>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</si>
  <si>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</si>
  <si>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</si>
  <si>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</si>
  <si>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</si>
  <si>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</si>
  <si>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</si>
  <si>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</si>
  <si>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</si>
  <si>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</si>
  <si>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</si>
  <si>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</si>
  <si>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</si>
  <si>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</si>
  <si>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</si>
  <si>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</si>
  <si>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</si>
  <si>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</si>
  <si>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</si>
  <si>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</si>
  <si>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</si>
  <si>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</si>
  <si>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</si>
  <si>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</si>
  <si>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</si>
  <si>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</si>
  <si>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</si>
  <si>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</si>
  <si>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</si>
  <si>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</si>
  <si>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</si>
  <si>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</si>
  <si>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</si>
  <si>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</si>
  <si>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</si>
  <si>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</si>
  <si>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</si>
  <si>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</si>
  <si>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</si>
  <si>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</si>
  <si>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</si>
  <si>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</si>
  <si>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</si>
  <si>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</si>
  <si>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</si>
  <si>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</si>
  <si>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</si>
  <si>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</si>
  <si>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</si>
  <si>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</si>
  <si>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</si>
  <si>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</si>
  <si>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</si>
  <si>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</si>
  <si>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</si>
  <si>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</si>
  <si>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</si>
  <si>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</si>
  <si>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</si>
  <si>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</si>
  <si>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</si>
  <si>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</si>
  <si>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</si>
  <si>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</si>
  <si>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</si>
  <si>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</si>
  <si>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</si>
  <si>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</si>
  <si>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</si>
  <si>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</si>
  <si>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</si>
  <si>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</si>
  <si>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</si>
  <si>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</si>
  <si>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</si>
  <si>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</si>
  <si>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</si>
  <si>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</si>
  <si>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</si>
  <si>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</si>
  <si>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</si>
  <si>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</si>
  <si>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</si>
  <si>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</si>
  <si>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</si>
  <si>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</si>
  <si>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</si>
  <si>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</si>
  <si>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</si>
  <si>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</si>
  <si>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</si>
  <si>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</si>
  <si>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</si>
  <si>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</si>
  <si>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</si>
  <si>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</si>
  <si>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</si>
  <si>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</si>
  <si>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</si>
  <si>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</si>
  <si>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</si>
  <si>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</si>
  <si>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</si>
  <si>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</si>
  <si>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</si>
  <si>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</si>
  <si>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</si>
  <si>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</si>
  <si>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</si>
  <si>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</si>
  <si>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</si>
  <si>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</si>
  <si>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</si>
  <si>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</si>
  <si>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</si>
  <si>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</si>
  <si>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</si>
  <si>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</si>
  <si>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</si>
  <si>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</si>
  <si>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</si>
  <si>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</si>
  <si>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</si>
  <si>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</si>
  <si>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</si>
  <si>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</si>
  <si>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</si>
  <si>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</si>
  <si>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</si>
  <si>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</si>
  <si>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</si>
  <si>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</si>
  <si>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</si>
  <si>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</si>
  <si>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</si>
  <si>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</si>
  <si>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</si>
  <si>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</si>
  <si>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</si>
  <si>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</si>
  <si>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</si>
  <si>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</si>
  <si>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</si>
  <si>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</si>
  <si>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</si>
  <si>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</si>
  <si>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</si>
  <si>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</si>
  <si>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</si>
  <si>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</si>
  <si>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</si>
  <si>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</si>
  <si>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</si>
  <si>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</si>
  <si>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</si>
  <si>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</si>
  <si>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</si>
  <si>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</si>
  <si>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</si>
  <si>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</si>
  <si>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</si>
  <si>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</si>
  <si>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</si>
  <si>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</si>
  <si>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</si>
  <si>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</si>
  <si>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</si>
  <si>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</si>
  <si>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</si>
  <si>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</si>
  <si>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</si>
  <si>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</si>
  <si>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</si>
  <si>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</si>
  <si>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</si>
  <si>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</si>
  <si>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</si>
  <si>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</si>
  <si>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</si>
  <si>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</si>
  <si>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</si>
  <si>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</si>
  <si>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</si>
  <si>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</si>
  <si>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</si>
  <si>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</si>
  <si>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</si>
  <si>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</si>
  <si>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</si>
  <si>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</si>
  <si>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</si>
  <si>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</si>
  <si>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</si>
  <si>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</si>
  <si>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</si>
  <si>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</si>
  <si>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</si>
  <si>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</si>
  <si>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</si>
  <si>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</si>
  <si>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</si>
  <si>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</si>
  <si>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</si>
  <si>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</si>
  <si>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</si>
  <si>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</si>
  <si>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</si>
  <si>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</si>
  <si>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</si>
  <si>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</si>
  <si>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</si>
  <si>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</si>
  <si>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</si>
  <si>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</si>
  <si>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</si>
  <si>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</si>
  <si>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</si>
  <si>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</si>
  <si>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</si>
  <si>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</si>
  <si>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</si>
  <si>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</si>
  <si>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</si>
  <si>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</si>
  <si>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</si>
  <si>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</si>
  <si>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</si>
  <si>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</si>
  <si>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</si>
  <si>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</si>
  <si>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</si>
  <si>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</si>
  <si>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</si>
  <si>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</si>
  <si>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</si>
  <si>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</si>
  <si>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</si>
  <si>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</si>
  <si>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</si>
  <si>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</si>
  <si>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</si>
  <si>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</si>
  <si>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</si>
  <si>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</si>
  <si>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</si>
  <si>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</si>
  <si>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</si>
  <si>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</si>
  <si>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</si>
  <si>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</si>
  <si>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</si>
  <si>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</si>
  <si>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</si>
  <si>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</si>
  <si>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</si>
  <si>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</si>
  <si>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</si>
  <si>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</si>
  <si>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</si>
  <si>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</si>
  <si>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</si>
  <si>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</si>
  <si>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</si>
  <si>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</si>
  <si>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</si>
  <si>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</si>
  <si>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</si>
  <si>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</si>
  <si>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</si>
  <si>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</si>
  <si>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</si>
  <si>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</si>
  <si>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</si>
  <si>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</si>
  <si>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</si>
  <si>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</si>
  <si>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</si>
  <si>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</si>
  <si>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</si>
  <si>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</si>
  <si>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</si>
  <si>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</si>
  <si>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</si>
  <si>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</si>
  <si>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</si>
  <si>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</si>
  <si>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</si>
  <si>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</si>
  <si>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</si>
  <si>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</si>
  <si>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</si>
  <si>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</si>
  <si>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</si>
  <si>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</si>
  <si>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</si>
  <si>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</si>
  <si>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</si>
  <si>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</si>
  <si>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</si>
  <si>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</si>
  <si>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</si>
  <si>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</si>
  <si>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</si>
  <si>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</si>
  <si>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</si>
  <si>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</si>
  <si>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</si>
  <si>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</si>
  <si>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</si>
  <si>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</si>
  <si>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</si>
  <si>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</si>
  <si>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</si>
  <si>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</si>
  <si>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</si>
  <si>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</si>
  <si>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</si>
  <si>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</si>
  <si>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</si>
  <si>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</si>
  <si>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</si>
  <si>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</si>
  <si>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</si>
  <si>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</si>
  <si>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</si>
  <si>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</si>
  <si>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</si>
  <si>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</si>
  <si>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</si>
  <si>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</si>
  <si>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</si>
  <si>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</si>
  <si>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</si>
  <si>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</si>
  <si>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</si>
  <si>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</si>
  <si>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</si>
  <si>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</si>
  <si>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</si>
  <si>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</si>
  <si>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</si>
  <si>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</si>
  <si>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</si>
  <si>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</si>
  <si>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</si>
  <si>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</si>
  <si>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</si>
  <si>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</si>
  <si>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</si>
  <si>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</si>
  <si>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</si>
  <si>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</si>
  <si>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</si>
  <si>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</si>
  <si>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</si>
  <si>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</si>
  <si>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</si>
  <si>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</si>
  <si>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</si>
  <si>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</si>
  <si>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</si>
  <si>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</si>
  <si>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</si>
  <si>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</si>
  <si>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</si>
  <si>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</si>
  <si>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</si>
  <si>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</si>
  <si>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</si>
  <si>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</si>
  <si>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</si>
  <si>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</si>
  <si>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</si>
  <si>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</si>
  <si>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</si>
  <si>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</si>
  <si>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</si>
  <si>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</si>
  <si>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</si>
  <si>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</si>
  <si>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</si>
  <si>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</si>
  <si>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</si>
  <si>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</si>
  <si>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</si>
  <si>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</si>
  <si>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</si>
  <si>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</si>
  <si>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</si>
  <si>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</si>
  <si>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</si>
  <si>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</si>
  <si>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</si>
  <si>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</si>
  <si>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</si>
  <si>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</si>
  <si>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</si>
  <si>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</si>
  <si>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</si>
  <si>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</si>
  <si>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</si>
  <si>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</si>
  <si>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</si>
  <si>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</si>
  <si>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</si>
  <si>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</si>
  <si>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</si>
  <si>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</si>
  <si>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</si>
  <si>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</si>
  <si>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</si>
  <si>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</si>
  <si>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</si>
  <si>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</si>
  <si>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</si>
  <si>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</si>
  <si>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</si>
  <si>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</si>
  <si>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</si>
  <si>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</si>
  <si>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</si>
  <si>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</si>
  <si>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</si>
  <si>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</si>
  <si>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</si>
  <si>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</si>
  <si>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</si>
  <si>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</si>
  <si>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</si>
  <si>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</si>
  <si>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</si>
  <si>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</si>
  <si>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</si>
  <si>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</si>
  <si>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</si>
  <si>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</si>
  <si>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</si>
  <si>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</si>
  <si>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</si>
  <si>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</si>
  <si>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</si>
  <si>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</si>
  <si>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</si>
  <si>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</si>
  <si>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</si>
  <si>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</si>
  <si>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</si>
  <si>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</si>
  <si>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</si>
  <si>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</si>
  <si>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</si>
  <si>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</si>
  <si>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</si>
  <si>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</si>
  <si>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</si>
  <si>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</si>
  <si>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</si>
  <si>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</si>
  <si>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</si>
  <si>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</si>
  <si>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</si>
  <si>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</si>
  <si>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</si>
  <si>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</si>
  <si>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</si>
  <si>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</si>
  <si>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</si>
  <si>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</si>
  <si>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</si>
  <si>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</si>
  <si>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</si>
  <si>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</si>
  <si>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</si>
  <si>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</si>
  <si>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</si>
  <si>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</si>
  <si>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</si>
  <si>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</si>
  <si>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</si>
  <si>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</si>
  <si>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</si>
  <si>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</si>
  <si>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</si>
  <si>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</si>
  <si>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</si>
  <si>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</si>
  <si>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</si>
  <si>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</si>
  <si>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</si>
  <si>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</si>
  <si>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</si>
  <si>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</si>
  <si>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</si>
  <si>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</si>
  <si>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</si>
  <si>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</si>
  <si>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</si>
  <si>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</si>
  <si>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</si>
  <si>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</si>
  <si>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</si>
  <si>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</si>
  <si>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</si>
  <si>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</si>
  <si>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</si>
  <si>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</si>
  <si>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</si>
  <si>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</si>
  <si>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</si>
  <si>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</si>
  <si>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</si>
  <si>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</si>
  <si>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</si>
  <si>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</si>
  <si>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</si>
  <si>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</si>
  <si>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</si>
  <si>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</si>
  <si>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</si>
  <si>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</si>
  <si>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</si>
  <si>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</si>
  <si>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</si>
  <si>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</si>
  <si>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</si>
  <si>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</si>
  <si>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</si>
  <si>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</si>
  <si>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</si>
  <si>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</si>
  <si>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</si>
  <si>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</si>
  <si>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</si>
  <si>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</si>
  <si>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</si>
  <si>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</si>
  <si>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</si>
  <si>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</si>
  <si>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</si>
  <si>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</si>
  <si>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</si>
  <si>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</si>
  <si>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</si>
  <si>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</si>
  <si>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</si>
  <si>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</si>
  <si>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</si>
  <si>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</si>
  <si>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</si>
  <si>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</si>
  <si>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</si>
  <si>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</si>
  <si>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</si>
  <si>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</si>
  <si>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</si>
  <si>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</si>
  <si>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</si>
  <si>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</si>
  <si>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</si>
  <si>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</si>
  <si>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</si>
  <si>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</si>
  <si>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</si>
  <si>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</si>
  <si>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</si>
  <si>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</si>
  <si>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</si>
  <si>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</si>
  <si>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</si>
  <si>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</si>
  <si>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</si>
  <si>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</si>
  <si>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</si>
  <si>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</si>
  <si>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</si>
  <si>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</si>
  <si>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</si>
  <si>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</si>
  <si>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</si>
  <si>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</si>
  <si>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</si>
  <si>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</si>
  <si>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</si>
  <si>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</si>
  <si>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</si>
  <si>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</si>
  <si>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</si>
  <si>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</si>
  <si>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</si>
  <si>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</si>
  <si>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</si>
  <si>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</si>
  <si>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</si>
  <si>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</si>
  <si>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</si>
  <si>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</si>
  <si>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</si>
  <si>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</si>
  <si>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</si>
  <si>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</si>
  <si>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</si>
  <si>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</si>
  <si>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</si>
  <si>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</si>
  <si>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</si>
  <si>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</si>
  <si>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</si>
  <si>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</si>
  <si>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</si>
  <si>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</si>
  <si>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</si>
  <si>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</si>
  <si>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</si>
  <si>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</si>
  <si>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</si>
  <si>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</si>
  <si>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</si>
  <si>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</si>
  <si>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</si>
  <si>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</si>
  <si>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</si>
  <si>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</si>
  <si>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</si>
  <si>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</si>
  <si>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</si>
  <si>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</si>
  <si>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</si>
  <si>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</si>
  <si>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</si>
  <si>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</si>
  <si>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</si>
  <si>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</si>
  <si>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</si>
  <si>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</si>
  <si>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</si>
  <si>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</si>
  <si>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</si>
  <si>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</si>
  <si>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</si>
  <si>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</si>
  <si>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</si>
  <si>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</si>
  <si>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</si>
  <si>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</si>
  <si>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</si>
  <si>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</si>
  <si>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</si>
  <si>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</si>
  <si>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</si>
  <si>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</si>
  <si>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</si>
  <si>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</si>
  <si>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</si>
  <si>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</si>
  <si>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</si>
  <si>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</si>
  <si>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</si>
  <si>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</si>
  <si>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</si>
  <si>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</si>
  <si>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</si>
  <si>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</si>
  <si>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</si>
  <si>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</si>
  <si>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</si>
  <si>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</si>
  <si>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</si>
  <si>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</si>
  <si>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</si>
  <si>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</si>
  <si>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</si>
  <si>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</si>
  <si>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</si>
  <si>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</si>
  <si>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</si>
  <si>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</si>
  <si>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</si>
  <si>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</si>
  <si>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</si>
  <si>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</si>
  <si>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</si>
  <si>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</si>
  <si>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</si>
  <si>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</si>
  <si>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</si>
  <si>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</si>
  <si>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</si>
  <si>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</si>
  <si>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</si>
  <si>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</si>
  <si>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</si>
  <si>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</si>
  <si>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</si>
  <si>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</si>
  <si>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</si>
  <si>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</si>
  <si>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</si>
  <si>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</si>
  <si>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</si>
  <si>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</si>
  <si>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</si>
  <si>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</si>
  <si>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</si>
  <si>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</si>
  <si>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</si>
  <si>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</si>
  <si>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</si>
  <si>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</si>
  <si>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</si>
  <si>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</si>
  <si>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</si>
  <si>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</si>
  <si>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</si>
  <si>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</si>
  <si>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</si>
  <si>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</si>
  <si>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</si>
  <si>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</si>
  <si>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</si>
  <si>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</si>
  <si>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</si>
  <si>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</si>
  <si>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</si>
  <si>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</si>
  <si>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</si>
  <si>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</si>
  <si>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</si>
  <si>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</si>
  <si>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</si>
  <si>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</si>
  <si>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</si>
  <si>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</si>
  <si>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</si>
  <si>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</si>
  <si>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</si>
  <si>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</si>
  <si>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</si>
  <si>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</si>
  <si>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</si>
  <si>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</si>
  <si>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</si>
  <si>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</si>
  <si>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</si>
  <si>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</si>
  <si>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</si>
  <si>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</si>
  <si>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</si>
  <si>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</si>
  <si>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</si>
  <si>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</si>
  <si>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</si>
  <si>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</si>
  <si>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</si>
  <si>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</si>
  <si>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</si>
  <si>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</si>
  <si>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</si>
  <si>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</si>
  <si>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</si>
  <si>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</si>
  <si>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</si>
  <si>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</si>
  <si>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</si>
  <si>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</si>
  <si>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</si>
  <si>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</si>
  <si>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</si>
  <si>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</si>
  <si>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</si>
  <si>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</si>
  <si>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</si>
  <si>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</si>
  <si>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</si>
  <si>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</si>
  <si>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</si>
  <si>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</si>
  <si>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</si>
  <si>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</si>
  <si>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</si>
  <si>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</si>
  <si>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</si>
  <si>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</si>
  <si>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</si>
  <si>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</si>
  <si>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</si>
  <si>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</si>
  <si>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</si>
  <si>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</si>
  <si>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</si>
  <si>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</si>
  <si>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</si>
  <si>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</si>
  <si>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</si>
  <si>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</si>
  <si>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</si>
  <si>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</si>
  <si>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</si>
  <si>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</si>
  <si>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</si>
  <si>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</si>
  <si>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</si>
  <si>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</si>
  <si>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</si>
  <si>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</si>
  <si>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</si>
  <si>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</si>
  <si>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</si>
  <si>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</si>
  <si>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</si>
  <si>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</si>
  <si>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</si>
  <si>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</si>
  <si>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</si>
  <si>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</si>
  <si>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</si>
  <si>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</si>
  <si>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</si>
  <si>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</si>
  <si>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</si>
  <si>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</si>
  <si>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</si>
  <si>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</si>
  <si>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</si>
  <si>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</si>
  <si>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</si>
  <si>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</si>
  <si>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</si>
  <si>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</si>
  <si>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</si>
  <si>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</si>
  <si>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</si>
  <si>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</si>
  <si>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</si>
  <si>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</si>
  <si>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</si>
  <si>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</si>
  <si>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</si>
  <si>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</si>
  <si>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</si>
  <si>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</si>
  <si>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</si>
  <si>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</si>
  <si>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</si>
  <si>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</si>
  <si>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</si>
  <si>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</si>
  <si>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</si>
  <si>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</si>
  <si>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</si>
  <si>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</si>
  <si>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</si>
  <si>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</si>
  <si>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</si>
  <si>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</si>
  <si>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</si>
  <si>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</si>
  <si>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</si>
  <si>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</si>
  <si>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</si>
  <si>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</si>
  <si>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</si>
  <si>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</si>
  <si>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</si>
  <si>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</si>
  <si>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</si>
  <si>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</si>
  <si>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</si>
  <si>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</si>
  <si>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</si>
  <si>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</si>
  <si>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</si>
  <si>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</si>
  <si>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</si>
  <si>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</si>
  <si>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</si>
  <si>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</si>
  <si>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</si>
  <si>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</si>
  <si>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</si>
  <si>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</si>
  <si>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</si>
  <si>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</si>
  <si>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</si>
  <si>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</si>
  <si>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</si>
  <si>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</si>
  <si>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</si>
  <si>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</si>
  <si>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</si>
  <si>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</si>
  <si>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</si>
  <si>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</si>
  <si>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</si>
  <si>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</si>
  <si>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</si>
  <si>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</si>
  <si>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</si>
  <si>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</si>
  <si>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</si>
  <si>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</si>
  <si>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</si>
  <si>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</si>
  <si>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</si>
  <si>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</si>
  <si>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</si>
  <si>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</si>
  <si>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</si>
  <si>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</si>
  <si>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</si>
  <si>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</si>
  <si>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</si>
  <si>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</si>
  <si>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</si>
  <si>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</si>
  <si>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</si>
  <si>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</si>
  <si>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</si>
  <si>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</si>
  <si>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</si>
  <si>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</si>
  <si>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</si>
  <si>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</si>
  <si>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</si>
  <si>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</si>
  <si>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</si>
  <si>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</si>
  <si>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</si>
  <si>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</si>
  <si>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</si>
  <si>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</si>
  <si>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</si>
  <si>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</si>
  <si>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</si>
  <si>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</si>
  <si>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</si>
  <si>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</si>
  <si>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</si>
  <si>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</si>
  <si>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</si>
  <si>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</si>
  <si>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</si>
  <si>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</si>
  <si>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</si>
  <si>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</si>
  <si>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</si>
  <si>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</si>
  <si>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</si>
  <si>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</si>
  <si>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</si>
  <si>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</si>
  <si>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</si>
  <si>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</si>
  <si>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</si>
  <si>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</si>
  <si>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</si>
  <si>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</si>
  <si>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</si>
  <si>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</si>
  <si>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</si>
  <si>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</si>
  <si>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</si>
  <si>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</si>
  <si>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</si>
  <si>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</si>
  <si>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</si>
  <si>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</si>
  <si>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</si>
  <si>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</si>
  <si>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</si>
  <si>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</si>
  <si>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</si>
  <si>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</si>
  <si>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</si>
  <si>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</si>
  <si>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</si>
  <si>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</si>
  <si>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</si>
  <si>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</si>
  <si>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</si>
  <si>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</si>
  <si>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</si>
  <si>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</si>
  <si>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</si>
  <si>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</si>
  <si>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</si>
  <si>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</si>
  <si>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</si>
  <si>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</si>
  <si>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</si>
  <si>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</si>
  <si>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</si>
  <si>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</si>
  <si>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</si>
  <si>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</si>
  <si>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</si>
  <si>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</si>
  <si>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</si>
  <si>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</si>
  <si>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</si>
  <si>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</si>
  <si>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</si>
  <si>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</si>
  <si>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</si>
  <si>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</si>
  <si>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</si>
  <si>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</si>
  <si>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</si>
  <si>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</si>
  <si>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</si>
  <si>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</si>
  <si>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</si>
  <si>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</si>
  <si>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</si>
  <si>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</si>
  <si>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</si>
  <si>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</si>
  <si>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</si>
  <si>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</si>
  <si>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</si>
  <si>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</si>
  <si>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</si>
  <si>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</si>
  <si>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</si>
  <si>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</si>
  <si>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</si>
  <si>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</si>
  <si>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</si>
  <si>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</si>
  <si>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</si>
  <si>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</si>
  <si>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</si>
  <si>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</si>
  <si>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</si>
  <si>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</si>
  <si>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</si>
  <si>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</si>
  <si>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</si>
  <si>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</si>
  <si>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</si>
  <si>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</si>
  <si>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</si>
  <si>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</si>
  <si>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</si>
  <si>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</si>
  <si>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</si>
  <si>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</si>
  <si>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</si>
  <si>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</si>
  <si>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</si>
  <si>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</si>
  <si>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</si>
  <si>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</si>
  <si>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</si>
  <si>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</si>
  <si>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</si>
  <si>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</si>
  <si>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</si>
  <si>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</si>
  <si>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</si>
  <si>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</si>
  <si>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</si>
  <si>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</si>
  <si>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</si>
  <si>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</si>
  <si>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</si>
  <si>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</si>
  <si>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</si>
  <si>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</si>
  <si>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</si>
  <si>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</si>
  <si>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</si>
  <si>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</si>
  <si>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</si>
  <si>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</si>
  <si>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</si>
  <si>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</si>
  <si>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</si>
  <si>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</si>
  <si>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</si>
  <si>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</si>
  <si>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</si>
  <si>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</si>
  <si>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</si>
  <si>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</si>
  <si>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</si>
  <si>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</si>
  <si>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</si>
  <si>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</si>
  <si>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</si>
  <si>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</si>
  <si>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</si>
  <si>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</si>
  <si>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</si>
  <si>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</si>
  <si>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</si>
  <si>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</si>
  <si>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</si>
  <si>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</si>
  <si>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</si>
  <si>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</si>
  <si>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</si>
  <si>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</si>
  <si>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</si>
  <si>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</si>
  <si>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</si>
  <si>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</si>
  <si>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</si>
  <si>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</si>
  <si>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</si>
  <si>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</si>
  <si>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</si>
  <si>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</si>
  <si>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</si>
  <si>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</si>
  <si>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</si>
  <si>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</si>
  <si>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</si>
  <si>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</si>
  <si>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</si>
  <si>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</si>
  <si>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</si>
  <si>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</si>
  <si>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</si>
  <si>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</si>
  <si>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</si>
  <si>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</si>
  <si>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</si>
  <si>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</si>
  <si>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</si>
  <si>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</si>
  <si>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</si>
  <si>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</si>
  <si>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</si>
  <si>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</si>
  <si>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</si>
  <si>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</si>
  <si>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</si>
  <si>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</si>
  <si>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</si>
  <si>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</si>
  <si>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</si>
  <si>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</si>
  <si>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</si>
  <si>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</si>
  <si>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</si>
  <si>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</si>
  <si>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</si>
  <si>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</si>
  <si>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</si>
  <si>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</si>
  <si>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</si>
  <si>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</si>
  <si>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</si>
  <si>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</si>
  <si>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</si>
  <si>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</si>
  <si>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</si>
  <si>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</si>
  <si>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</si>
  <si>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</si>
  <si>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</si>
  <si>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</si>
  <si>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</si>
  <si>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</si>
  <si>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</si>
  <si>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</si>
  <si>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</si>
  <si>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</si>
  <si>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</si>
  <si>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</si>
  <si>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</si>
  <si>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</si>
  <si>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</si>
  <si>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</si>
  <si>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</si>
  <si>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</si>
  <si>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</si>
  <si>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</si>
  <si>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</si>
  <si>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</si>
  <si>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</si>
  <si>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</si>
  <si>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</si>
  <si>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</si>
  <si>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</si>
  <si>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</si>
  <si>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</si>
  <si>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</si>
  <si>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</si>
  <si>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</si>
  <si>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</si>
  <si>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</si>
  <si>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</si>
  <si>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</si>
  <si>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</si>
  <si>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</si>
  <si>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</si>
  <si>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</si>
  <si>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</si>
  <si>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</si>
  <si>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</si>
  <si>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</si>
  <si>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</si>
  <si>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</si>
  <si>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</si>
  <si>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</si>
  <si>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</si>
  <si>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</si>
  <si>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</si>
  <si>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</si>
  <si>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</si>
  <si>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</si>
  <si>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</si>
  <si>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</si>
  <si>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</si>
  <si>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</si>
  <si>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</si>
  <si>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</si>
  <si>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</si>
  <si>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</si>
  <si>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</si>
  <si>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</si>
  <si>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</si>
  <si>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</si>
  <si>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</si>
  <si>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</si>
  <si>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</si>
  <si>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</si>
  <si>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</si>
  <si>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</si>
  <si>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</si>
  <si>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</si>
  <si>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</si>
  <si>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</si>
  <si>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</si>
  <si>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</si>
  <si>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</si>
  <si>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</si>
  <si>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</si>
  <si>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</si>
  <si>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</si>
  <si>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</si>
  <si>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</si>
  <si>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</si>
  <si>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</si>
  <si>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</si>
  <si>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</si>
  <si>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</si>
  <si>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</si>
  <si>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</si>
  <si>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</si>
  <si>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</si>
  <si>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</si>
  <si>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</si>
  <si>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</si>
  <si>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</si>
  <si>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</si>
  <si>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</si>
  <si>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</si>
  <si>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</si>
  <si>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</si>
  <si>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</si>
  <si>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</si>
  <si>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</si>
  <si>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</si>
  <si>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</si>
  <si>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</si>
  <si>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</si>
  <si>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</si>
  <si>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</si>
  <si>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</si>
  <si>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</si>
  <si>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</si>
  <si>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</si>
  <si>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</si>
  <si>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</si>
  <si>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</si>
  <si>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</si>
  <si>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</si>
  <si>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</si>
  <si>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</si>
  <si>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</si>
  <si>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</si>
  <si>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</si>
  <si>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</si>
  <si>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</si>
  <si>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</si>
  <si>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</si>
  <si>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</si>
  <si>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</si>
  <si>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</si>
  <si>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</si>
  <si>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</si>
  <si>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</si>
  <si>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</si>
  <si>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</si>
  <si>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</si>
  <si>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</si>
  <si>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</si>
  <si>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</si>
  <si>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</si>
  <si>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</si>
  <si>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</si>
  <si>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</si>
  <si>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</si>
  <si>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</si>
  <si>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</si>
  <si>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</si>
  <si>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</si>
  <si>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</si>
  <si>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</si>
  <si>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</si>
  <si>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</si>
  <si>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</si>
  <si>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</si>
  <si>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</si>
  <si>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</si>
  <si>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</si>
  <si>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</si>
  <si>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</si>
  <si>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</si>
  <si>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</si>
  <si>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</si>
  <si>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</si>
  <si>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</si>
  <si>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</si>
  <si>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</si>
  <si>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</si>
  <si>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</si>
  <si>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</si>
  <si>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</si>
  <si>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</si>
  <si>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</si>
  <si>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</si>
  <si>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</si>
  <si>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</si>
  <si>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</si>
  <si>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</si>
  <si>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</si>
  <si>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</si>
  <si>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</si>
  <si>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</si>
  <si>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</si>
  <si>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</si>
  <si>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</si>
  <si>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</si>
  <si>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</si>
  <si>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</si>
  <si>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</si>
  <si>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</si>
  <si>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</si>
  <si>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</si>
  <si>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</si>
  <si>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</si>
  <si>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</si>
  <si>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</si>
  <si>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</si>
  <si>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</si>
  <si>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</si>
  <si>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</si>
  <si>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</si>
  <si>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</si>
  <si>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</si>
  <si>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</si>
  <si>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</si>
  <si>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</si>
  <si>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</si>
  <si>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</si>
  <si>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</si>
  <si>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</si>
  <si>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</si>
  <si>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</si>
  <si>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</si>
  <si>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</si>
  <si>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</si>
  <si>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</si>
  <si>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</si>
  <si>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</si>
  <si>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</si>
  <si>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</si>
  <si>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</si>
  <si>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</si>
  <si>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</si>
  <si>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</si>
  <si>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</si>
  <si>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</si>
  <si>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</si>
  <si>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</si>
  <si>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</si>
  <si>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</si>
  <si>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</si>
  <si>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</si>
  <si>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</si>
  <si>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</si>
  <si>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</si>
  <si>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</si>
  <si>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</si>
  <si>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</si>
  <si>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</si>
  <si>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</si>
  <si>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</si>
  <si>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</si>
  <si>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</si>
  <si>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</si>
  <si>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</si>
  <si>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</si>
  <si>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</si>
  <si>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</si>
  <si>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</si>
  <si>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</si>
  <si>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</si>
  <si>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</si>
  <si>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</si>
  <si>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</si>
  <si>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</si>
  <si>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</si>
  <si>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</si>
  <si>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</si>
  <si>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</si>
  <si>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</si>
  <si>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</si>
  <si>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</si>
  <si>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</si>
  <si>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</si>
  <si>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</si>
  <si>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</si>
  <si>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</si>
  <si>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</si>
  <si>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</si>
  <si>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</si>
  <si>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</si>
  <si>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</si>
  <si>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</si>
  <si>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</si>
  <si>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</si>
  <si>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</si>
  <si>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</si>
  <si>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</si>
  <si>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</si>
  <si>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</si>
  <si>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</si>
  <si>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</si>
  <si>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</si>
  <si>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</si>
  <si>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</si>
  <si>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</si>
  <si>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</si>
  <si>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</si>
  <si>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</si>
  <si>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</si>
  <si>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</si>
  <si>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</si>
  <si>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</si>
  <si>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</si>
  <si>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</si>
  <si>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</si>
  <si>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</si>
  <si>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</si>
  <si>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</si>
  <si>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</si>
  <si>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</si>
  <si>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</si>
  <si>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</si>
  <si>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</si>
  <si>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</si>
  <si>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</si>
  <si>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</si>
  <si>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</si>
  <si>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</si>
  <si>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</si>
  <si>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</si>
  <si>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</si>
  <si>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</si>
  <si>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</si>
  <si>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</si>
  <si>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</si>
  <si>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</si>
  <si>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</si>
  <si>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</si>
  <si>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</si>
  <si>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</si>
  <si>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</si>
  <si>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</si>
  <si>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</si>
  <si>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</si>
  <si>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</si>
  <si>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</si>
  <si>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</si>
  <si>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</si>
  <si>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</si>
  <si>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</si>
  <si>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</si>
  <si>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</si>
  <si>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</si>
  <si>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</si>
  <si>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</si>
  <si>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</si>
  <si>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</si>
  <si>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</si>
  <si>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</si>
  <si>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</si>
  <si>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</si>
  <si>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</si>
  <si>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</si>
  <si>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</si>
  <si>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</si>
  <si>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</si>
  <si>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</si>
  <si>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</si>
  <si>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</si>
  <si>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</si>
  <si>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</si>
  <si>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</si>
  <si>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</si>
  <si>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</si>
  <si>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</si>
  <si>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</si>
  <si>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</si>
  <si>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</si>
  <si>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</si>
  <si>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</si>
  <si>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</si>
  <si>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</si>
  <si>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</si>
  <si>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</si>
  <si>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</si>
  <si>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</si>
  <si>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</si>
  <si>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</si>
  <si>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</si>
  <si>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</si>
  <si>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</si>
  <si>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</si>
  <si>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</si>
  <si>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</si>
  <si>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</si>
  <si>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</si>
  <si>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</si>
  <si>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</si>
  <si>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</si>
  <si>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</si>
  <si>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</si>
  <si>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</si>
  <si>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</si>
  <si>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</si>
  <si>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</si>
  <si>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</si>
  <si>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</si>
  <si>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</si>
  <si>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</si>
  <si>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</si>
  <si>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</si>
  <si>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</si>
  <si>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</si>
  <si>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</si>
  <si>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</si>
  <si>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</si>
  <si>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</si>
  <si>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</si>
  <si>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</si>
  <si>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</si>
  <si>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</si>
  <si>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</si>
  <si>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</si>
  <si>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</si>
  <si>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</si>
  <si>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</si>
  <si>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</si>
  <si>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</si>
  <si>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</si>
  <si>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</si>
  <si>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</si>
  <si>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</si>
  <si>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</si>
  <si>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</si>
  <si>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</si>
  <si>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</si>
  <si>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</si>
  <si>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</si>
  <si>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</si>
  <si>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</si>
  <si>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</si>
  <si>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</si>
  <si>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</si>
  <si>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</si>
  <si>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</si>
  <si>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</si>
  <si>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</si>
  <si>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</si>
  <si>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</si>
  <si>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</si>
  <si>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</si>
  <si>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</si>
  <si>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</si>
  <si>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</si>
  <si>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</si>
  <si>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</si>
  <si>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</si>
  <si>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</si>
  <si>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</si>
  <si>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</si>
  <si>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</si>
  <si>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</si>
  <si>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</si>
  <si>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</si>
  <si>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</si>
  <si>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</si>
  <si>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</si>
  <si>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</si>
  <si>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</si>
  <si>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</si>
  <si>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</si>
  <si>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</si>
  <si>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</si>
  <si>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</si>
  <si>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</si>
  <si>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</si>
  <si>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</si>
  <si>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</si>
  <si>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</si>
  <si>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</si>
  <si>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</si>
  <si>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</si>
  <si>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</si>
  <si>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</si>
  <si>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</si>
  <si>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</si>
  <si>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</si>
  <si>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</si>
  <si>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</si>
  <si>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</si>
  <si>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</si>
  <si>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</si>
  <si>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</si>
  <si>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</si>
  <si>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</si>
  <si>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</si>
  <si>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</si>
  <si>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</si>
  <si>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</si>
  <si>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</si>
  <si>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</si>
  <si>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</si>
  <si>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</si>
  <si>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</si>
  <si>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</si>
  <si>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</si>
  <si>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</si>
  <si>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</si>
  <si>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</si>
  <si>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</si>
  <si>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</si>
  <si>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</si>
  <si>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</si>
  <si>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</si>
  <si>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</si>
  <si>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</si>
  <si>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</si>
  <si>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</si>
  <si>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</si>
  <si>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</si>
  <si>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</si>
  <si>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</si>
  <si>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</si>
  <si>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</si>
  <si>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</si>
  <si>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</si>
  <si>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</si>
  <si>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</si>
  <si>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</si>
  <si>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</si>
  <si>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</si>
  <si>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</si>
  <si>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</si>
  <si>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</si>
  <si>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</si>
  <si>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</si>
  <si>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</si>
  <si>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</si>
  <si>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</si>
  <si>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</si>
  <si>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</si>
  <si>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</si>
  <si>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</si>
  <si>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</si>
  <si>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</si>
  <si>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</si>
  <si>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</si>
  <si>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</si>
  <si>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</si>
  <si>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</si>
  <si>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</si>
  <si>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</si>
  <si>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</si>
  <si>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</si>
  <si>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</si>
  <si>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</si>
  <si>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</si>
  <si>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</si>
  <si>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</si>
  <si>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</si>
  <si>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</si>
  <si>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</si>
  <si>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</si>
  <si>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</si>
  <si>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</si>
  <si>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</si>
  <si>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</si>
  <si>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</si>
  <si>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</si>
  <si>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</si>
  <si>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</si>
  <si>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</si>
  <si>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</si>
  <si>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</si>
  <si>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</si>
  <si>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</si>
  <si>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</si>
  <si>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</si>
  <si>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</si>
  <si>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</si>
  <si>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</si>
  <si>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</si>
  <si>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</si>
  <si>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</si>
  <si>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</si>
  <si>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</si>
  <si>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</si>
  <si>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</si>
  <si>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</si>
  <si>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</si>
  <si>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</si>
  <si>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</si>
  <si>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</si>
  <si>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</si>
  <si>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</si>
  <si>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</si>
  <si>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</si>
  <si>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</si>
  <si>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</si>
  <si>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</si>
  <si>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</si>
  <si>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</si>
  <si>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</si>
  <si>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</si>
  <si>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</si>
  <si>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</si>
  <si>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</si>
  <si>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</si>
  <si>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</si>
  <si>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</si>
  <si>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</si>
  <si>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</si>
  <si>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</si>
  <si>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</si>
  <si>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</si>
  <si>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</si>
  <si>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</si>
  <si>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</si>
  <si>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</si>
  <si>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</si>
  <si>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</si>
  <si>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</si>
  <si>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</si>
  <si>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</si>
  <si>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</si>
  <si>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</si>
  <si>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</si>
  <si>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</si>
  <si>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</si>
  <si>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</si>
  <si>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</si>
  <si>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</si>
  <si>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</si>
  <si>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</si>
  <si>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</si>
  <si>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</si>
  <si>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</si>
  <si>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</si>
  <si>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</si>
  <si>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</si>
  <si>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</si>
  <si>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</si>
  <si>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</si>
  <si>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</si>
  <si>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</si>
  <si>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</si>
  <si>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</si>
  <si>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</si>
  <si>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</si>
  <si>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</si>
  <si>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</si>
  <si>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</si>
  <si>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</si>
  <si>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</si>
  <si>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</si>
  <si>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</si>
  <si>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</si>
  <si>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</si>
  <si>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</si>
  <si>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</si>
  <si>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</si>
  <si>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</si>
  <si>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</si>
  <si>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</si>
  <si>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</si>
  <si>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</si>
  <si>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</si>
  <si>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</si>
  <si>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</si>
  <si>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</si>
  <si>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</si>
  <si>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</si>
  <si>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</si>
  <si>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</si>
  <si>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</si>
  <si>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</si>
  <si>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</si>
  <si>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</si>
  <si>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</si>
  <si>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</si>
  <si>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</si>
  <si>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</si>
  <si>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</si>
  <si>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</si>
  <si>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</si>
  <si>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</si>
  <si>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</si>
  <si>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</si>
  <si>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</si>
  <si>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</si>
  <si>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</si>
  <si>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</si>
  <si>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</si>
  <si>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</si>
  <si>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</si>
  <si>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</si>
  <si>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</si>
  <si>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</si>
  <si>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</si>
  <si>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</si>
  <si>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</si>
  <si>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</si>
  <si>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</si>
  <si>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</si>
  <si>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</si>
  <si>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</si>
  <si>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</si>
  <si>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</si>
  <si>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</si>
  <si>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</si>
  <si>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</si>
  <si>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</si>
  <si>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</si>
  <si>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</si>
  <si>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</si>
  <si>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</si>
  <si>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</si>
  <si>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</si>
  <si>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</si>
  <si>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</si>
  <si>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</si>
  <si>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</si>
  <si>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</si>
  <si>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</si>
  <si>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</si>
  <si>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</si>
  <si>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</si>
  <si>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</si>
  <si>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</si>
  <si>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</si>
  <si>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</si>
  <si>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</si>
  <si>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</si>
  <si>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</si>
  <si>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</si>
  <si>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</si>
  <si>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</si>
  <si>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</si>
  <si>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</si>
  <si>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</si>
  <si>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</si>
  <si>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</si>
  <si>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</si>
  <si>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</si>
  <si>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</si>
  <si>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</si>
  <si>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</si>
  <si>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</si>
  <si>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</si>
  <si>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</si>
  <si>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</si>
  <si>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</si>
  <si>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</si>
  <si>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</si>
  <si>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</si>
  <si>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</si>
  <si>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</si>
  <si>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</si>
  <si>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</si>
  <si>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</si>
  <si>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</si>
  <si>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</si>
  <si>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</si>
  <si>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</si>
  <si>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</si>
  <si>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</si>
  <si>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</si>
  <si>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</si>
  <si>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</si>
  <si>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</si>
  <si>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</si>
  <si>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</si>
  <si>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</si>
  <si>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</si>
  <si>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</si>
  <si>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</si>
  <si>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</si>
  <si>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</si>
  <si>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</si>
  <si>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</si>
  <si>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</si>
  <si>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</si>
  <si>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</si>
  <si>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</si>
  <si>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</si>
  <si>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</si>
  <si>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</si>
  <si>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</si>
  <si>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</si>
  <si>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</si>
  <si>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</si>
  <si>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</si>
  <si>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</si>
  <si>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</si>
  <si>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</si>
  <si>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</si>
  <si>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</si>
  <si>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</si>
  <si>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</si>
  <si>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</si>
  <si>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</si>
  <si>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</si>
  <si>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</si>
  <si>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</si>
  <si>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</si>
  <si>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</si>
  <si>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</si>
  <si>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</si>
  <si>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</si>
  <si>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</si>
  <si>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</si>
  <si>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</si>
  <si>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</si>
  <si>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</si>
  <si>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</si>
  <si>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</si>
  <si>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</si>
  <si>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</si>
  <si>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</si>
  <si>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</si>
  <si>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</si>
  <si>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</si>
  <si>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</si>
  <si>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</si>
  <si>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</si>
  <si>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</si>
  <si>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</si>
  <si>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</si>
  <si>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</si>
  <si>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</si>
  <si>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</si>
  <si>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</si>
  <si>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</si>
  <si>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</si>
  <si>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</si>
  <si>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</si>
  <si>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</si>
  <si>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</si>
  <si>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</si>
  <si>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</si>
  <si>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</si>
  <si>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</si>
  <si>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</si>
  <si>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</si>
  <si>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</si>
  <si>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</si>
  <si>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</si>
  <si>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</si>
  <si>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</si>
  <si>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</si>
  <si>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</si>
  <si>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</si>
  <si>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</si>
  <si>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</si>
  <si>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</si>
  <si>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</si>
  <si>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</si>
  <si>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</si>
  <si>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</si>
  <si>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</si>
  <si>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</si>
  <si>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</si>
  <si>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</si>
  <si>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</si>
  <si>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</si>
  <si>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</si>
  <si>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</si>
  <si>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</si>
  <si>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</si>
  <si>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</si>
  <si>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</si>
  <si>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</si>
  <si>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</si>
  <si>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</si>
  <si>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</si>
  <si>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</si>
  <si>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</si>
  <si>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</si>
  <si>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</si>
  <si>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</si>
  <si>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</si>
  <si>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</si>
  <si>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</si>
  <si>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</si>
  <si>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</si>
  <si>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</si>
  <si>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</si>
  <si>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</si>
  <si>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</si>
  <si>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</si>
  <si>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</si>
  <si>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</si>
  <si>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</si>
  <si>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</si>
  <si>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</si>
  <si>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</si>
  <si>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</si>
  <si>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</si>
  <si>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</si>
  <si>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</si>
  <si>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</si>
  <si>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</si>
  <si>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</si>
  <si>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</si>
  <si>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</si>
  <si>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</si>
  <si>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</si>
  <si>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</si>
  <si>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</si>
  <si>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</si>
  <si>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</si>
  <si>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</si>
  <si>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</si>
  <si>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</si>
  <si>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</si>
  <si>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</si>
  <si>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</si>
  <si>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</si>
  <si>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</si>
  <si>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</si>
  <si>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</si>
  <si>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</si>
  <si>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</si>
  <si>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</si>
  <si>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</si>
  <si>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</si>
  <si>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</si>
  <si>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</si>
  <si>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</si>
  <si>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</si>
  <si>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</si>
  <si>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</si>
  <si>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</si>
  <si>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</si>
  <si>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</si>
  <si>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</si>
  <si>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</si>
  <si>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</si>
  <si>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</si>
  <si>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</si>
  <si>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</si>
  <si>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</si>
  <si>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</si>
  <si>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</si>
  <si>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</si>
  <si>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</si>
  <si>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</si>
  <si>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</si>
  <si>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</si>
  <si>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</si>
  <si>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</si>
  <si>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</si>
  <si>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</si>
  <si>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</si>
  <si>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</si>
  <si>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</si>
  <si>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</si>
  <si>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</si>
  <si>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</si>
  <si>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</si>
  <si>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</si>
  <si>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</si>
  <si>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</si>
  <si>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</si>
  <si>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</si>
  <si>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</si>
  <si>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</si>
  <si>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</si>
  <si>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</si>
  <si>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</si>
  <si>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</si>
  <si>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</si>
  <si>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</si>
  <si>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</si>
  <si>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</si>
  <si>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</si>
  <si>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</si>
  <si>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</si>
  <si>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</si>
  <si>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</si>
  <si>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</si>
  <si>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</si>
  <si>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</si>
  <si>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</si>
  <si>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</si>
  <si>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</si>
  <si>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</si>
  <si>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</si>
  <si>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</si>
  <si>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</si>
  <si>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</si>
  <si>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</si>
  <si>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</si>
  <si>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</si>
  <si>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</si>
  <si>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</si>
  <si>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</si>
  <si>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</si>
  <si>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</si>
  <si>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</si>
  <si>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</si>
  <si>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</si>
  <si>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</si>
  <si>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</si>
  <si>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</si>
  <si>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</si>
  <si>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</si>
  <si>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</si>
  <si>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</si>
  <si>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</si>
  <si>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</si>
  <si>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</si>
  <si>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</si>
  <si>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</si>
  <si>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</si>
  <si>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</si>
  <si>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</si>
  <si>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</si>
  <si>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</si>
  <si>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</si>
  <si>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</si>
  <si>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</si>
  <si>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</si>
  <si>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</si>
  <si>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</si>
  <si>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</si>
  <si>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</si>
  <si>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</si>
  <si>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</si>
  <si>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</si>
  <si>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</si>
  <si>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</si>
  <si>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</si>
  <si>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</si>
  <si>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</si>
  <si>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</si>
  <si>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</si>
  <si>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</si>
  <si>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</si>
  <si>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</si>
  <si>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</si>
  <si>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</si>
  <si>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</si>
  <si>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</si>
  <si>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</si>
  <si>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</si>
  <si>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</si>
  <si>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</si>
  <si>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</si>
  <si>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</si>
  <si>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</si>
  <si>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</si>
  <si>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</si>
  <si>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</si>
  <si>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</si>
  <si>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</si>
  <si>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</si>
  <si>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</si>
  <si>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</si>
  <si>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</si>
  <si>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</si>
  <si>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</si>
  <si>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</si>
  <si>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</si>
  <si>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</si>
  <si>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</si>
  <si>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</si>
  <si>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</si>
  <si>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</si>
  <si>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</si>
  <si>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</si>
  <si>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</si>
  <si>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</si>
  <si>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</si>
  <si>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</si>
  <si>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</si>
  <si>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</si>
  <si>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</si>
  <si>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</si>
  <si>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</si>
  <si>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</si>
  <si>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</si>
  <si>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</si>
  <si>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</si>
  <si>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</si>
  <si>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</si>
  <si>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</si>
  <si>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</si>
  <si>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</si>
  <si>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</si>
  <si>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</si>
  <si>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</si>
  <si>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</si>
  <si>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</si>
  <si>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</si>
  <si>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</si>
  <si>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</si>
  <si>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</si>
  <si>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</si>
  <si>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</si>
  <si>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</si>
  <si>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</si>
  <si>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</si>
  <si>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</si>
  <si>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</si>
  <si>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</si>
  <si>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</si>
  <si>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</si>
  <si>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</si>
  <si>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</si>
  <si>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</si>
  <si>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</si>
  <si>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</si>
  <si>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</si>
  <si>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</si>
  <si>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</si>
  <si>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</si>
  <si>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</si>
  <si>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</si>
  <si>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</si>
  <si>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</si>
  <si>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</si>
  <si>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</si>
  <si>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</si>
  <si>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</si>
  <si>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</si>
  <si>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</si>
  <si>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</si>
  <si>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</si>
  <si>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</si>
  <si>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</si>
  <si>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</si>
  <si>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</si>
  <si>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</si>
  <si>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</si>
  <si>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</si>
  <si>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</si>
  <si>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</si>
  <si>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</si>
  <si>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</si>
  <si>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</si>
  <si>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</si>
  <si>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</si>
  <si>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</si>
  <si>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</si>
  <si>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</si>
  <si>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</si>
  <si>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</si>
  <si>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</si>
  <si>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</si>
  <si>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</si>
  <si>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</si>
  <si>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</si>
  <si>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</si>
  <si>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</si>
  <si>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</si>
  <si>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</si>
  <si>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</si>
  <si>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</si>
  <si>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</si>
  <si>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</si>
  <si>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</si>
  <si>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</si>
  <si>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</si>
  <si>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</si>
  <si>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</si>
  <si>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</si>
  <si>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</si>
  <si>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</si>
  <si>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</si>
  <si>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</si>
  <si>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</si>
  <si>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</si>
  <si>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</si>
  <si>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</si>
  <si>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</si>
  <si>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</si>
  <si>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</si>
  <si>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</si>
  <si>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</si>
  <si>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</si>
  <si>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</si>
  <si>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</si>
  <si>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</si>
  <si>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</si>
  <si>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</si>
  <si>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</si>
  <si>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</si>
  <si>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</si>
  <si>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</si>
  <si>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</si>
  <si>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</si>
  <si>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</si>
  <si>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</si>
  <si>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</si>
  <si>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</si>
  <si>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</si>
  <si>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</si>
  <si>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</si>
  <si>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</si>
  <si>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</si>
  <si>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</si>
  <si>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</si>
  <si>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</si>
  <si>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</si>
  <si>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</si>
  <si>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</si>
  <si>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</si>
  <si>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</si>
  <si>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</si>
  <si>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</si>
  <si>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</si>
  <si>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</si>
  <si>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</si>
  <si>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</si>
  <si>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</si>
  <si>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</si>
  <si>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</si>
  <si>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</si>
  <si>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</si>
  <si>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</si>
  <si>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</si>
  <si>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</si>
  <si>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</si>
  <si>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</si>
  <si>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</si>
  <si>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</si>
  <si>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</si>
  <si>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</si>
  <si>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</si>
  <si>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</si>
  <si>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</si>
  <si>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</si>
  <si>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</si>
  <si>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</si>
  <si>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</si>
  <si>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</si>
  <si>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</si>
  <si>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</si>
  <si>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</si>
  <si>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</si>
  <si>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</si>
  <si>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</si>
  <si>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</si>
  <si>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</si>
  <si>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</si>
  <si>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</si>
  <si>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</si>
  <si>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</si>
  <si>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</si>
  <si>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</si>
  <si>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</si>
  <si>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</si>
  <si>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</si>
  <si>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</si>
  <si>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</si>
  <si>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</si>
  <si>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</si>
  <si>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</si>
  <si>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</si>
  <si>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</si>
  <si>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</si>
  <si>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</si>
  <si>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</si>
  <si>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</si>
  <si>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</si>
  <si>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</si>
  <si>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</si>
  <si>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</si>
  <si>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</si>
  <si>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</si>
  <si>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</si>
  <si>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</si>
  <si>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</si>
  <si>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</si>
  <si>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</si>
  <si>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</si>
  <si>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</si>
  <si>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</si>
  <si>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</si>
  <si>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</si>
  <si>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</si>
  <si>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</si>
  <si>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</si>
  <si>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</si>
  <si>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</si>
  <si>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</si>
  <si>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</si>
  <si>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</si>
  <si>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</si>
  <si>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</si>
  <si>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</si>
  <si>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</si>
  <si>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</si>
  <si>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</si>
  <si>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</si>
  <si>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</si>
  <si>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</si>
  <si>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</si>
  <si>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</si>
  <si>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</si>
  <si>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</si>
  <si>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</si>
  <si>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</si>
  <si>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</si>
  <si>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</si>
  <si>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</si>
  <si>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</si>
  <si>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</si>
  <si>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</si>
  <si>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</si>
  <si>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</si>
  <si>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</si>
  <si>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</si>
  <si>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</si>
  <si>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</si>
  <si>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</si>
  <si>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</si>
  <si>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</si>
  <si>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</si>
  <si>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</si>
  <si>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</si>
  <si>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</si>
  <si>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</si>
  <si>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</si>
  <si>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</si>
  <si>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</si>
  <si>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</si>
  <si>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</si>
  <si>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</si>
  <si>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</si>
  <si>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</si>
  <si>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</si>
  <si>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</si>
  <si>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</si>
  <si>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</si>
  <si>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</si>
  <si>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</si>
  <si>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</si>
  <si>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</si>
  <si>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</si>
  <si>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</si>
  <si>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</si>
  <si>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</si>
  <si>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</si>
  <si>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</si>
  <si>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</si>
  <si>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</si>
  <si>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</si>
  <si>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</si>
  <si>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</si>
  <si>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</si>
  <si>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</si>
  <si>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</si>
  <si>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</si>
  <si>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</si>
  <si>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</si>
  <si>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</si>
  <si>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</si>
  <si>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</si>
  <si>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</si>
  <si>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</si>
  <si>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</si>
  <si>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</si>
  <si>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</si>
  <si>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</si>
  <si>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</si>
  <si>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</si>
  <si>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</si>
  <si>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</si>
  <si>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</si>
  <si>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</si>
  <si>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</si>
  <si>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</si>
  <si>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</si>
  <si>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</si>
  <si>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</si>
  <si>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</si>
  <si>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</si>
  <si>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</si>
  <si>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</si>
  <si>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</si>
  <si>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</si>
  <si>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</si>
  <si>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</si>
  <si>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</si>
  <si>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</si>
  <si>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</si>
  <si>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</si>
  <si>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</si>
  <si>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</si>
  <si>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</si>
  <si>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</si>
  <si>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</si>
  <si>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</si>
  <si>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</si>
  <si>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</si>
  <si>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</si>
  <si>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</si>
  <si>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</si>
  <si>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</si>
  <si>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</si>
  <si>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</si>
  <si>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</si>
  <si>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</si>
  <si>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</si>
  <si>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</si>
  <si>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</si>
  <si>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</si>
  <si>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</si>
  <si>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</si>
  <si>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</si>
  <si>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</si>
  <si>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</si>
  <si>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</si>
  <si>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</si>
  <si>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</si>
  <si>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</si>
  <si>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</si>
  <si>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</si>
  <si>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</si>
  <si>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</si>
  <si>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</si>
  <si>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</si>
  <si>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</si>
  <si>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</si>
  <si>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</si>
  <si>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</si>
  <si>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</si>
  <si>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</si>
  <si>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</si>
  <si>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</si>
  <si>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</si>
  <si>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</si>
  <si>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</si>
  <si>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</si>
  <si>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</si>
  <si>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</si>
  <si>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</si>
  <si>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</si>
  <si>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</si>
  <si>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</si>
  <si>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</si>
  <si>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</si>
  <si>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</si>
  <si>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</si>
  <si>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</si>
  <si>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</si>
  <si>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</si>
  <si>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</si>
  <si>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</si>
  <si>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</si>
  <si>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</si>
  <si>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</si>
  <si>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</si>
  <si>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</si>
  <si>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</si>
  <si>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</si>
  <si>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</si>
  <si>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</si>
  <si>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</si>
  <si>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</si>
  <si>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</si>
  <si>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</si>
  <si>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</si>
  <si>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</si>
  <si>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</si>
  <si>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</si>
  <si>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</si>
  <si>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</si>
  <si>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</si>
  <si>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</si>
  <si>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</si>
  <si>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</si>
  <si>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</si>
  <si>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</si>
  <si>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</si>
  <si>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</si>
  <si>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</si>
  <si>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</si>
  <si>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</si>
  <si>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</si>
  <si>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</si>
  <si>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</si>
  <si>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</si>
  <si>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</si>
  <si>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</si>
  <si>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</si>
  <si>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</si>
  <si>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</si>
  <si>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</si>
  <si>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</si>
  <si>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</si>
  <si>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</si>
  <si>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</si>
  <si>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</si>
  <si>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</si>
  <si>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</si>
  <si>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</si>
  <si>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</si>
  <si>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</si>
  <si>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</si>
  <si>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</si>
  <si>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</si>
  <si>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</si>
  <si>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</si>
  <si>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</si>
  <si>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</si>
  <si>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</si>
  <si>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</si>
  <si>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</si>
  <si>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</si>
  <si>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</si>
  <si>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</si>
  <si>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</si>
  <si>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</si>
  <si>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</si>
  <si>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</si>
  <si>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</si>
  <si>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</si>
  <si>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</si>
  <si>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</si>
  <si>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</si>
  <si>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</si>
  <si>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</si>
  <si>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</si>
  <si>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</si>
  <si>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</si>
  <si>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</si>
  <si>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</si>
  <si>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</si>
  <si>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</si>
  <si>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</si>
  <si>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</si>
  <si>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</si>
  <si>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</si>
  <si>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</si>
  <si>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</si>
  <si>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</si>
  <si>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</si>
  <si>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</si>
  <si>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</si>
  <si>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</si>
  <si>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</si>
  <si>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</si>
  <si>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</si>
  <si>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</si>
  <si>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</si>
  <si>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</si>
  <si>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</si>
  <si>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</si>
  <si>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</si>
  <si>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</si>
  <si>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</si>
  <si>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</si>
  <si>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</si>
  <si>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</si>
  <si>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</si>
  <si>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</si>
  <si>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</si>
  <si>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</si>
  <si>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</si>
  <si>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</si>
  <si>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</si>
  <si>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</si>
  <si>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</si>
  <si>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</si>
  <si>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</si>
  <si>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</si>
  <si>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</si>
  <si>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</si>
  <si>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</si>
  <si>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</si>
  <si>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</si>
  <si>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</si>
  <si>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</si>
  <si>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</si>
  <si>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</si>
  <si>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</si>
  <si>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</si>
  <si>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</si>
  <si>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</si>
  <si>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</si>
  <si>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</si>
  <si>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</si>
  <si>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</si>
  <si>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</si>
  <si>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</si>
  <si>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</si>
  <si>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</si>
  <si>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</si>
  <si>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</si>
  <si>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</si>
  <si>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</si>
  <si>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</si>
  <si>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</si>
  <si>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</si>
  <si>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</si>
  <si>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</si>
  <si>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</si>
  <si>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</si>
  <si>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</si>
  <si>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</si>
  <si>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</si>
  <si>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</si>
  <si>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</si>
  <si>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</si>
  <si>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</si>
  <si>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</si>
  <si>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</si>
  <si>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</si>
  <si>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</si>
  <si>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</si>
  <si>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</si>
  <si>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</si>
  <si>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</si>
  <si>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</si>
  <si>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</si>
  <si>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</si>
  <si>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</si>
  <si>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</si>
  <si>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</si>
  <si>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</si>
  <si>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</si>
  <si>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</si>
  <si>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</si>
  <si>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</si>
  <si>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</si>
  <si>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</si>
  <si>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</si>
  <si>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</si>
  <si>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</si>
  <si>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</si>
  <si>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</si>
  <si>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</si>
  <si>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</si>
  <si>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</si>
  <si>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</si>
  <si>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</si>
  <si>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</si>
  <si>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</si>
  <si>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</si>
  <si>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</si>
  <si>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</si>
  <si>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</si>
  <si>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</si>
  <si>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</si>
  <si>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</si>
  <si>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</si>
  <si>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</si>
  <si>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</si>
  <si>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</si>
  <si>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</si>
  <si>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</si>
  <si>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</si>
  <si>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</si>
  <si>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</si>
  <si>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</si>
  <si>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</si>
  <si>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</si>
  <si>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</si>
  <si>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</si>
  <si>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</si>
  <si>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</si>
  <si>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</si>
  <si>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</si>
  <si>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</si>
  <si>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</si>
  <si>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</si>
  <si>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</si>
  <si>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</si>
  <si>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</si>
  <si>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</si>
  <si>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</si>
  <si>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</si>
  <si>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</si>
  <si>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</si>
  <si>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</si>
  <si>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</si>
  <si>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</si>
  <si>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</si>
  <si>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</si>
  <si>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</si>
  <si>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</si>
  <si>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</si>
  <si>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</si>
  <si>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</si>
  <si>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</si>
  <si>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</si>
  <si>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</si>
  <si>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</si>
  <si>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</si>
  <si>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</si>
  <si>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</si>
  <si>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</si>
  <si>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</si>
  <si>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</si>
  <si>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</si>
  <si>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</si>
  <si>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</si>
  <si>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</si>
  <si>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</si>
  <si>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</si>
  <si>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</si>
  <si>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</si>
  <si>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</si>
  <si>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</si>
  <si>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</si>
  <si>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</si>
  <si>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</si>
  <si>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</si>
  <si>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</si>
  <si>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</si>
  <si>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</si>
  <si>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</si>
  <si>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</si>
  <si>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</si>
  <si>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</si>
  <si>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</si>
  <si>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</si>
  <si>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</si>
  <si>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</si>
  <si>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</si>
  <si>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</si>
  <si>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</si>
  <si>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</si>
  <si>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</si>
  <si>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</si>
  <si>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</si>
  <si>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</si>
  <si>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</si>
  <si>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</si>
  <si>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</si>
  <si>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</si>
  <si>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</si>
  <si>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</si>
  <si>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</si>
  <si>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</si>
  <si>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</si>
  <si>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</si>
  <si>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</si>
  <si>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</si>
  <si>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</si>
  <si>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</si>
  <si>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</si>
  <si>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</si>
  <si>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</si>
  <si>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</si>
  <si>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</si>
  <si>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</si>
  <si>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</si>
  <si>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</si>
  <si>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</si>
  <si>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</si>
  <si>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</si>
  <si>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</si>
  <si>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</si>
  <si>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</si>
  <si>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</si>
  <si>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</si>
  <si>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</si>
  <si>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</si>
  <si>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</si>
  <si>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</si>
  <si>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</si>
  <si>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</si>
  <si>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</si>
  <si>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</si>
  <si>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</si>
  <si>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</si>
  <si>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</si>
  <si>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</si>
  <si>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</si>
  <si>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</si>
  <si>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</si>
  <si>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</si>
  <si>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</si>
  <si>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</si>
  <si>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</si>
  <si>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</si>
  <si>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</si>
  <si>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</si>
  <si>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</si>
  <si>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</si>
  <si>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</si>
  <si>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</si>
  <si>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</si>
  <si>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</si>
  <si>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</si>
  <si>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</si>
  <si>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</si>
  <si>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</si>
  <si>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</si>
  <si>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</si>
  <si>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</si>
  <si>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</si>
  <si>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</si>
  <si>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</si>
  <si>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</si>
  <si>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</si>
  <si>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</si>
  <si>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</si>
  <si>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</si>
  <si>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</si>
  <si>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</si>
  <si>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</si>
  <si>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</si>
  <si>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</si>
  <si>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</si>
  <si>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</si>
  <si>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</si>
  <si>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</si>
  <si>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</si>
  <si>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</si>
  <si>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</si>
  <si>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</si>
  <si>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</si>
  <si>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</si>
  <si>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</si>
  <si>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</si>
  <si>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</si>
  <si>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</si>
  <si>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</si>
  <si>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</si>
  <si>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</si>
  <si>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</si>
  <si>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</si>
  <si>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</si>
  <si>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</si>
  <si>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</si>
  <si>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</si>
  <si>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</si>
  <si>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</si>
  <si>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</si>
  <si>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</si>
  <si>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</si>
  <si>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</si>
  <si>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</si>
  <si>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</si>
  <si>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</si>
  <si>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</si>
  <si>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</si>
  <si>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</si>
  <si>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</si>
  <si>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</si>
  <si>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</si>
  <si>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</si>
  <si>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</si>
  <si>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</si>
  <si>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</si>
  <si>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</si>
  <si>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</si>
  <si>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</si>
  <si>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</si>
  <si>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</si>
  <si>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</si>
  <si>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</si>
  <si>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</si>
  <si>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</si>
  <si>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</si>
  <si>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</si>
  <si>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</si>
  <si>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</si>
  <si>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</si>
  <si>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</si>
  <si>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</si>
  <si>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</si>
  <si>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</si>
  <si>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</si>
  <si>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</si>
  <si>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</si>
  <si>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</si>
  <si>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</si>
  <si>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</si>
  <si>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</si>
  <si>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</si>
  <si>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</si>
  <si>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</si>
  <si>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</si>
  <si>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</si>
  <si>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</si>
  <si>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</si>
  <si>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</si>
  <si>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</si>
  <si>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</si>
  <si>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</si>
  <si>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</si>
  <si>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</si>
  <si>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</si>
  <si>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</si>
  <si>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</si>
  <si>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</si>
  <si>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</si>
  <si>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</si>
  <si>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</si>
  <si>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</si>
  <si>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</si>
  <si>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</si>
  <si>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</si>
  <si>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</si>
  <si>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</si>
  <si>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</si>
  <si>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</si>
  <si>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</si>
  <si>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</si>
  <si>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</si>
  <si>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</si>
  <si>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</si>
  <si>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</si>
  <si>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</si>
  <si>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</si>
  <si>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</si>
  <si>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</si>
  <si>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</si>
  <si>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</si>
  <si>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</si>
  <si>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</si>
  <si>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</si>
  <si>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</si>
  <si>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</si>
  <si>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</si>
  <si>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</si>
  <si>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</si>
  <si>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</si>
  <si>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</si>
  <si>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</si>
  <si>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</si>
  <si>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</si>
  <si>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</si>
  <si>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</si>
  <si>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</si>
  <si>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</si>
  <si>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</si>
  <si>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</si>
  <si>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</si>
  <si>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</si>
  <si>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</si>
  <si>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</si>
  <si>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</si>
  <si>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</si>
  <si>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</si>
  <si>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</si>
  <si>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</si>
  <si>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</si>
  <si>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</si>
  <si>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</si>
  <si>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</si>
  <si>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</si>
  <si>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</si>
  <si>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</si>
  <si>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</si>
  <si>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</si>
  <si>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</si>
  <si>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</si>
  <si>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</si>
  <si>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</si>
  <si>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</si>
  <si>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</si>
  <si>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</si>
  <si>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</si>
  <si>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</si>
  <si>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</si>
  <si>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</si>
  <si>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</si>
  <si>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</si>
  <si>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</si>
  <si>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</si>
  <si>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</si>
  <si>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</si>
  <si>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</si>
  <si>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</si>
  <si>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</si>
  <si>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</si>
  <si>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</si>
  <si>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</si>
  <si>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</si>
  <si>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</si>
  <si>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</si>
  <si>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</si>
  <si>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</si>
  <si>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</si>
  <si>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</si>
  <si>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</si>
  <si>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</si>
  <si>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</si>
  <si>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</si>
  <si>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</si>
  <si>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</si>
  <si>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</si>
  <si>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</si>
  <si>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</si>
  <si>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</si>
  <si>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</si>
  <si>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</si>
  <si>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</si>
  <si>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</si>
  <si>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</si>
  <si>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</si>
  <si>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</si>
  <si>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</si>
  <si>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</si>
  <si>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</si>
  <si>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</si>
  <si>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</si>
  <si>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</si>
  <si>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</si>
  <si>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</si>
  <si>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</si>
  <si>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</si>
  <si>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</si>
  <si>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</si>
  <si>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</si>
  <si>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</si>
  <si>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</si>
  <si>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</si>
  <si>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</si>
  <si>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</si>
  <si>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</si>
  <si>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</si>
  <si>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</si>
  <si>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</si>
  <si>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</si>
  <si>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</si>
  <si>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</si>
  <si>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</si>
  <si>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</si>
  <si>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</si>
  <si>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</si>
  <si>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</si>
  <si>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</si>
  <si>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</si>
  <si>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</si>
  <si>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</si>
  <si>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</si>
  <si>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</si>
  <si>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</si>
  <si>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</si>
  <si>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</si>
  <si>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</si>
  <si>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</si>
  <si>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</si>
  <si>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</si>
  <si>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</si>
  <si>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</si>
  <si>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</si>
  <si>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</si>
  <si>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</si>
  <si>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</si>
  <si>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</si>
  <si>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</si>
  <si>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</si>
  <si>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</si>
  <si>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</si>
  <si>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</si>
  <si>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</si>
  <si>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</si>
  <si>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</si>
  <si>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</si>
  <si>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</si>
  <si>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</si>
  <si>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</si>
  <si>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</si>
  <si>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</si>
  <si>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</si>
  <si>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</si>
  <si>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</si>
  <si>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</si>
  <si>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</si>
  <si>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</si>
  <si>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</si>
  <si>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</si>
  <si>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</si>
  <si>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</si>
  <si>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</si>
  <si>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</si>
  <si>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</si>
  <si>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</si>
  <si>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</si>
  <si>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</si>
  <si>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</si>
  <si>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</si>
  <si>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</si>
  <si>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</si>
  <si>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</si>
  <si>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</si>
  <si>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</si>
  <si>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</si>
  <si>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</si>
  <si>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</si>
  <si>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</si>
  <si>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</si>
  <si>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</si>
  <si>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</si>
  <si>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</si>
  <si>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</si>
  <si>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</si>
  <si>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</si>
  <si>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</si>
  <si>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</si>
  <si>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</si>
  <si>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</si>
  <si>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</si>
  <si>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</si>
  <si>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</si>
  <si>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</si>
  <si>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</si>
  <si>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</si>
  <si>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</si>
  <si>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</si>
  <si>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</si>
  <si>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</si>
  <si>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</si>
  <si>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</si>
  <si>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</si>
  <si>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</si>
  <si>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</si>
  <si>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</si>
  <si>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</si>
  <si>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</si>
  <si>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</si>
  <si>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</si>
  <si>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</si>
  <si>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</si>
  <si>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</si>
  <si>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</si>
  <si>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</si>
  <si>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</si>
  <si>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</si>
  <si>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</si>
  <si>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</si>
  <si>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</si>
  <si>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</si>
  <si>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</si>
  <si>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</si>
  <si>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</si>
  <si>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</si>
  <si>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</si>
  <si>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</si>
  <si>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</si>
  <si>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</si>
  <si>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</si>
  <si>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</si>
  <si>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</si>
  <si>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</si>
  <si>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</si>
  <si>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</si>
  <si>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</si>
  <si>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</si>
  <si>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</si>
  <si>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</si>
  <si>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</si>
  <si>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</si>
  <si>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</si>
  <si>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</si>
  <si>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</si>
  <si>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</si>
  <si>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</si>
  <si>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</si>
  <si>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</si>
  <si>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</si>
  <si>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</si>
  <si>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</si>
  <si>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</si>
  <si>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</si>
  <si>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</si>
  <si>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</si>
  <si>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</si>
  <si>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</si>
  <si>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</si>
  <si>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</si>
  <si>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</si>
  <si>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</si>
  <si>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</si>
  <si>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</si>
  <si>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</si>
  <si>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</si>
  <si>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</si>
  <si>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</si>
  <si>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</si>
  <si>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</si>
  <si>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</si>
  <si>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</si>
  <si>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</si>
  <si>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</si>
  <si>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</si>
  <si>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</si>
  <si>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</si>
  <si>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</si>
  <si>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</si>
  <si>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</si>
  <si>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</si>
  <si>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</si>
  <si>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</si>
  <si>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</si>
  <si>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</si>
  <si>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</si>
  <si>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</si>
  <si>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</si>
  <si>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</si>
  <si>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</si>
  <si>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</si>
  <si>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</si>
  <si>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</si>
  <si>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</si>
  <si>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</si>
  <si>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</si>
  <si>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</si>
  <si>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</si>
  <si>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</si>
  <si>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</si>
  <si>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</si>
  <si>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</si>
  <si>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</si>
  <si>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</si>
  <si>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</si>
  <si>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</si>
  <si>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</si>
  <si>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</si>
  <si>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</si>
  <si>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</si>
  <si>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</si>
  <si>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</si>
  <si>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</si>
  <si>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</si>
  <si>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</si>
  <si>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</si>
  <si>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</si>
  <si>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</si>
  <si>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</si>
  <si>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</si>
  <si>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</si>
  <si>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</si>
  <si>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</si>
  <si>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</si>
  <si>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</si>
  <si>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</si>
  <si>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</si>
  <si>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</si>
  <si>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</si>
  <si>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</si>
  <si>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</si>
  <si>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</si>
  <si>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</si>
  <si>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</si>
  <si>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</si>
  <si>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</si>
  <si>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</si>
  <si>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</si>
  <si>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</si>
  <si>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</si>
  <si>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</si>
  <si>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</si>
  <si>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</si>
  <si>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</si>
  <si>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</si>
  <si>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</si>
  <si>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</si>
  <si>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</si>
  <si>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</si>
  <si>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</si>
  <si>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</si>
  <si>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</si>
  <si>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</si>
  <si>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</si>
  <si>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</si>
  <si>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</si>
  <si>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</si>
  <si>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</si>
  <si>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</si>
  <si>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</si>
  <si>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</si>
  <si>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</si>
  <si>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</si>
  <si>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</si>
  <si>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</si>
  <si>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</si>
  <si>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</si>
  <si>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</si>
  <si>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</si>
  <si>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</si>
  <si>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</si>
  <si>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</si>
  <si>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</si>
  <si>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</si>
  <si>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</si>
  <si>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</si>
  <si>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</si>
  <si>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</si>
  <si>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</si>
  <si>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</si>
  <si>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</si>
  <si>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</si>
  <si>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</si>
  <si>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</si>
  <si>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</si>
  <si>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</si>
  <si>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</si>
  <si>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</si>
  <si>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</si>
  <si>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</si>
  <si>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</si>
  <si>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</si>
  <si>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</si>
  <si>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</si>
  <si>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</si>
  <si>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</si>
  <si>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</si>
  <si>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</si>
  <si>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</si>
  <si>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</si>
  <si>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</si>
  <si>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</si>
  <si>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</si>
  <si>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</si>
  <si>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</si>
  <si>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</si>
  <si>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</si>
  <si>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</si>
  <si>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</si>
  <si>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</si>
  <si>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</si>
  <si>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</si>
  <si>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</si>
  <si>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</si>
  <si>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</si>
  <si>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</si>
  <si>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</si>
  <si>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</si>
  <si>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</si>
  <si>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</si>
  <si>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</si>
  <si>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</si>
  <si>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</si>
  <si>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</si>
  <si>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</si>
  <si>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</si>
  <si>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</si>
  <si>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</si>
  <si>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</si>
  <si>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</si>
  <si>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</si>
  <si>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</si>
  <si>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</si>
  <si>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</si>
  <si>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</si>
  <si>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</si>
  <si>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</si>
  <si>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</si>
  <si>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</si>
  <si>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</si>
  <si>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</si>
  <si>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</si>
  <si>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</si>
  <si>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</si>
  <si>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</si>
  <si>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</si>
  <si>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</si>
  <si>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</si>
  <si>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</si>
  <si>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</si>
  <si>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</si>
  <si>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</si>
  <si>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</si>
  <si>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</si>
  <si>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International Resistive Company of Texas, LLC</t>
  </si>
  <si>
    <t>This document and the information within cover all products manufactured by International Resistive Company of Texas, LLC</t>
  </si>
  <si>
    <t>74-3023935</t>
  </si>
  <si>
    <t>US Governement</t>
  </si>
  <si>
    <t>2900 E Plano Parkway, Suite 200, Plano TX 75074.</t>
  </si>
  <si>
    <t>Joe Alvirde</t>
  </si>
  <si>
    <t>joe.alvirde@ttelectronics.com</t>
  </si>
  <si>
    <t>361-800-5042</t>
  </si>
  <si>
    <t>Quality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</si>
</sst>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8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27">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2" fillId="0" borderId="0" applyFont="0" applyFill="0" applyBorder="0" applyAlignment="0" applyProtection="0"/>
    <xf numFmtId="41"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2"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8"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8" fontId="3" fillId="0" borderId="0"/>
    <xf numFmtId="0" fontId="84" fillId="0" borderId="0"/>
    <xf numFmtId="0" fontId="84" fillId="0" borderId="0"/>
    <xf numFmtId="168"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8" fontId="3" fillId="0" borderId="0"/>
    <xf numFmtId="0" fontId="9" fillId="0" borderId="0"/>
    <xf numFmtId="168" fontId="84" fillId="0" borderId="0"/>
    <xf numFmtId="0" fontId="4" fillId="0" borderId="0"/>
    <xf numFmtId="0" fontId="4" fillId="0" borderId="0"/>
    <xf numFmtId="168" fontId="9" fillId="0" borderId="0"/>
    <xf numFmtId="0" fontId="4" fillId="0" borderId="0"/>
    <xf numFmtId="0" fontId="9" fillId="0" borderId="0"/>
    <xf numFmtId="0" fontId="4" fillId="0" borderId="0"/>
    <xf numFmtId="0" fontId="68" fillId="0" borderId="0">
      <alignment vertical="center"/>
    </xf>
    <xf numFmtId="168"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8" fontId="3" fillId="0" borderId="0"/>
    <xf numFmtId="168"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8" fontId="12" fillId="0" borderId="0"/>
    <xf numFmtId="0" fontId="84" fillId="0" borderId="0"/>
    <xf numFmtId="0" fontId="84" fillId="0" borderId="0"/>
    <xf numFmtId="0" fontId="84" fillId="0" borderId="0"/>
    <xf numFmtId="168"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2"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43">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8" fontId="0" fillId="45" borderId="13" xfId="0" applyNumberFormat="1" applyFont="1" applyFill="1" applyBorder="1" applyAlignment="1">
      <alignment vertical="top" wrapText="1"/>
    </xf>
    <xf numFmtId="168" fontId="0" fillId="45" borderId="0" xfId="0" applyNumberFormat="1" applyFont="1" applyFill="1" applyBorder="1" applyAlignment="1"/>
    <xf numFmtId="168" fontId="11" fillId="45" borderId="0" xfId="0" applyNumberFormat="1" applyFont="1" applyFill="1" applyBorder="1"/>
    <xf numFmtId="168" fontId="0" fillId="45" borderId="0" xfId="0" applyNumberFormat="1" applyFont="1" applyFill="1" applyBorder="1"/>
    <xf numFmtId="168" fontId="0" fillId="0" borderId="0" xfId="0" applyNumberFormat="1" applyFont="1" applyFill="1" applyBorder="1"/>
    <xf numFmtId="168"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8"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8"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8"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8"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8"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3" xfId="575" applyFont="1" applyFill="1" applyBorder="1" applyAlignment="1">
      <alignment horizontal="center" vertical="top" wrapText="1"/>
    </xf>
    <xf numFmtId="0" fontId="25" fillId="45" borderId="63" xfId="575" applyFont="1" applyFill="1" applyBorder="1" applyAlignment="1">
      <alignment vertical="top" wrapText="1"/>
    </xf>
    <xf numFmtId="168" fontId="25" fillId="0" borderId="63" xfId="575" applyNumberFormat="1" applyFont="1" applyFill="1" applyBorder="1" applyAlignment="1">
      <alignment horizontal="center" vertical="top" wrapText="1"/>
    </xf>
    <xf numFmtId="0" fontId="25" fillId="45" borderId="63"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5" xfId="0" applyFont="1" applyFill="1" applyBorder="1" applyAlignment="1" applyProtection="1">
      <alignment horizontal="left" vertical="center" wrapText="1"/>
      <protection locked="0" hidden="1"/>
    </xf>
    <xf numFmtId="0" fontId="0" fillId="45" borderId="66"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6" xfId="0" applyFont="1" applyFill="1" applyBorder="1" applyAlignment="1" applyProtection="1">
      <alignment horizontal="left" vertical="center" wrapText="1"/>
      <protection locked="0"/>
    </xf>
    <xf numFmtId="0" fontId="0" fillId="0" borderId="67" xfId="0" applyFont="1" applyBorder="1" applyAlignment="1" applyProtection="1">
      <alignment wrapText="1"/>
      <protection locked="0"/>
    </xf>
    <xf numFmtId="0" fontId="0" fillId="45" borderId="64" xfId="0" applyFont="1" applyFill="1" applyBorder="1" applyAlignment="1" applyProtection="1">
      <alignment horizontal="left" vertical="center" wrapText="1"/>
      <protection locked="0"/>
    </xf>
    <xf numFmtId="0" fontId="0" fillId="0" borderId="64" xfId="0" applyFont="1" applyBorder="1" applyAlignment="1" applyProtection="1">
      <alignment horizontal="left" vertical="center" wrapText="1"/>
      <protection locked="0" hidden="1"/>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64"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1" xfId="0" applyFont="1" applyBorder="1" applyAlignment="1" applyProtection="1">
      <alignment wrapText="1"/>
      <protection locked="0"/>
    </xf>
    <xf numFmtId="0" fontId="0" fillId="0" borderId="70"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8"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0" fillId="0" borderId="47" xfId="0" applyBorder="1" applyAlignment="1" applyProtection="1">
      <alignment horizontal="left" vertical="center" wrapText="1"/>
      <protection locked="0" hidden="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72" xfId="0" applyNumberFormat="1" applyFont="1" applyFill="1" applyBorder="1" applyAlignment="1" applyProtection="1">
      <alignment horizontal="left" vertical="center" wrapText="1"/>
      <protection locked="0"/>
    </xf>
    <xf numFmtId="49" fontId="17" fillId="45" borderId="73" xfId="0" applyNumberFormat="1" applyFont="1" applyFill="1" applyBorder="1" applyAlignment="1" applyProtection="1">
      <alignment horizontal="left" vertical="center" wrapText="1"/>
      <protection locked="0"/>
    </xf>
    <xf numFmtId="49" fontId="17" fillId="45" borderId="74"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9" fontId="16" fillId="45" borderId="31" xfId="0" applyNumberFormat="1" applyFont="1" applyFill="1" applyBorder="1" applyAlignment="1" applyProtection="1">
      <alignment horizontal="center" wrapText="1"/>
      <protection locked="0"/>
    </xf>
    <xf numFmtId="169"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75" xfId="0" applyFont="1" applyFill="1" applyBorder="1" applyAlignment="1" applyProtection="1">
      <alignment horizontal="left" vertical="center" wrapText="1"/>
      <protection locked="0"/>
    </xf>
    <xf numFmtId="0" fontId="17" fillId="45" borderId="76" xfId="0" applyFont="1" applyFill="1" applyBorder="1" applyAlignment="1" applyProtection="1">
      <alignment horizontal="left" vertical="center" wrapText="1"/>
      <protection locked="0"/>
    </xf>
    <xf numFmtId="0" fontId="17" fillId="45" borderId="77"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1"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xf numFmtId="0" fontId="17" fillId="45" borderId="72" xfId="0" applyFont="1" applyFill="1" applyBorder="1" applyAlignment="1" applyProtection="1">
      <alignment horizontal="left" vertical="center"/>
      <protection locked="0"/>
    </xf>
    <xf numFmtId="0" fontId="17" fillId="45" borderId="73" xfId="0" applyFont="1" applyFill="1" applyBorder="1" applyAlignment="1" applyProtection="1">
      <alignment horizontal="left" vertical="center"/>
      <protection locked="0"/>
    </xf>
    <xf numFmtId="0" fontId="17" fillId="45" borderId="74" xfId="0" applyFont="1" applyFill="1" applyBorder="1" applyAlignment="1" applyProtection="1">
      <alignment horizontal="left" vertical="center"/>
      <protection locked="0"/>
    </xf>
    <xf numFmtId="0" fontId="17" fillId="45" borderId="72" xfId="0" applyFont="1" applyFill="1" applyBorder="1" applyAlignment="1" applyProtection="1">
      <alignment horizontal="left" vertical="center" wrapText="1"/>
      <protection locked="0"/>
    </xf>
    <xf numFmtId="0" fontId="17" fillId="45" borderId="73" xfId="0" applyFont="1" applyFill="1" applyBorder="1" applyAlignment="1" applyProtection="1">
      <alignment horizontal="left" vertical="center" wrapText="1"/>
      <protection locked="0"/>
    </xf>
    <xf numFmtId="0" fontId="17" fillId="45" borderId="74" xfId="0" applyFont="1" applyFill="1" applyBorder="1" applyAlignment="1" applyProtection="1">
      <alignment horizontal="left" vertical="center" wrapText="1"/>
      <protection locked="0"/>
    </xf>
    <xf numFmtId="0" fontId="80" fillId="0" borderId="78" xfId="0" applyFont="1" applyBorder="1" applyAlignment="1" applyProtection="1">
      <alignment horizontal="left"/>
      <protection locked="0"/>
    </xf>
    <xf numFmtId="0" fontId="80" fillId="0" borderId="79" xfId="0" applyFont="1" applyBorder="1" applyAlignment="1" applyProtection="1">
      <alignment horizontal="left"/>
      <protection locked="0"/>
    </xf>
    <xf numFmtId="0" fontId="80" fillId="0" borderId="80" xfId="0" applyFont="1" applyBorder="1" applyAlignment="1" applyProtection="1">
      <alignment horizontal="left"/>
      <protection locked="0"/>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101">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ill>
        <patternFill>
          <bgColor rgb="FFFF00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joe.alvirde@ttelectronics.com" TargetMode="External"/><Relationship Id="rId1" Type="http://schemas.openxmlformats.org/officeDocument/2006/relationships/hyperlink" Target="mailto:joe.alvirde@ttelectronic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workbookViewId="0">
      <selection activeCell="A8" sqref="A8"/>
    </sheetView>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5" location="Declaration!A1" display="Return to declaration tab" xr:uid="{00000000-0004-0000-0000-000000000000}"/>
  </hyperlinks>
  <printOptions heading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50"/>
      <c r="B2" s="31" t="s">
        <v>461</v>
      </c>
      <c r="C2" s="30"/>
      <c r="D2" s="186"/>
      <c r="E2" s="238"/>
      <c r="F2" s="30"/>
      <c r="G2" s="28"/>
    </row>
    <row r="3" spans="1:7">
      <c r="A3" s="350"/>
      <c r="B3" s="3" t="s">
        <v>12504</v>
      </c>
      <c r="C3" s="2"/>
      <c r="D3" s="187"/>
      <c r="E3" s="238"/>
      <c r="F3" s="2"/>
      <c r="G3" s="28"/>
    </row>
    <row r="4" spans="1:7" ht="15">
      <c r="A4" s="350"/>
      <c r="B4" s="239" t="s">
        <v>463</v>
      </c>
      <c r="C4" s="240"/>
      <c r="D4" s="241"/>
      <c r="E4" s="238"/>
      <c r="F4" s="240"/>
      <c r="G4" s="28"/>
    </row>
    <row r="5" spans="1:7">
      <c r="A5" s="350"/>
      <c r="B5" s="252" t="s">
        <v>567</v>
      </c>
      <c r="C5" s="242"/>
      <c r="D5" s="243"/>
      <c r="E5" s="238"/>
      <c r="F5" s="242"/>
      <c r="G5" s="28"/>
    </row>
    <row r="6" spans="1:7">
      <c r="A6" s="350"/>
      <c r="B6" s="3"/>
      <c r="C6" s="3"/>
      <c r="D6" s="188"/>
      <c r="E6" s="3"/>
      <c r="F6" s="3"/>
      <c r="G6" s="28"/>
    </row>
    <row r="7" spans="1:7">
      <c r="A7" s="350"/>
      <c r="B7" s="3"/>
      <c r="C7" s="3"/>
      <c r="D7" s="188"/>
      <c r="E7" s="3"/>
      <c r="F7" s="3"/>
      <c r="G7" s="28"/>
    </row>
    <row r="8" spans="1:7">
      <c r="A8" s="350"/>
      <c r="B8" s="3"/>
      <c r="C8" s="3"/>
      <c r="D8" s="188"/>
      <c r="E8" s="3"/>
      <c r="F8" s="3"/>
      <c r="G8" s="28"/>
    </row>
    <row r="9" spans="1:7" ht="20.100000000000001" customHeight="1">
      <c r="A9" s="350"/>
      <c r="B9" s="353" t="s">
        <v>464</v>
      </c>
      <c r="C9" s="353"/>
      <c r="D9" s="353"/>
      <c r="E9" s="353"/>
      <c r="F9" s="353"/>
      <c r="G9" s="28"/>
    </row>
    <row r="10" spans="1:7" ht="27" customHeight="1">
      <c r="A10" s="350"/>
      <c r="B10" s="354" t="s">
        <v>12505</v>
      </c>
      <c r="C10" s="354"/>
      <c r="D10" s="354"/>
      <c r="E10" s="354"/>
      <c r="F10" s="354"/>
      <c r="G10" s="28"/>
    </row>
    <row r="11" spans="1:7" ht="82.5" customHeight="1">
      <c r="A11" s="350"/>
      <c r="B11" s="355"/>
      <c r="C11" s="355"/>
      <c r="D11" s="355"/>
      <c r="E11" s="355"/>
      <c r="F11" s="355"/>
      <c r="G11" s="28"/>
    </row>
    <row r="12" spans="1:7" ht="22.5">
      <c r="A12" s="350"/>
      <c r="B12" s="224" t="s">
        <v>462</v>
      </c>
      <c r="C12" s="225" t="s">
        <v>465</v>
      </c>
      <c r="D12" s="226" t="s">
        <v>466</v>
      </c>
      <c r="E12" s="225" t="s">
        <v>417</v>
      </c>
      <c r="F12" s="225" t="s">
        <v>418</v>
      </c>
      <c r="G12" s="28"/>
    </row>
    <row r="13" spans="1:7">
      <c r="A13" s="350"/>
      <c r="B13" s="227">
        <v>1</v>
      </c>
      <c r="C13" s="228" t="s">
        <v>11911</v>
      </c>
      <c r="D13" s="251">
        <v>43160</v>
      </c>
      <c r="E13" s="229" t="s">
        <v>12503</v>
      </c>
      <c r="F13" s="264"/>
      <c r="G13" s="28"/>
    </row>
    <row r="14" spans="1:7" ht="67.5">
      <c r="A14" s="350"/>
      <c r="B14" s="227">
        <v>1.1000000000000001</v>
      </c>
      <c r="C14" s="228" t="s">
        <v>11911</v>
      </c>
      <c r="D14" s="251">
        <v>43455</v>
      </c>
      <c r="E14" s="229" t="s">
        <v>12726</v>
      </c>
      <c r="F14" s="229" t="s">
        <v>12507</v>
      </c>
      <c r="G14" s="28"/>
    </row>
    <row r="15" spans="1:7" ht="67.5">
      <c r="A15" s="350"/>
      <c r="B15" s="227">
        <v>2</v>
      </c>
      <c r="C15" s="228" t="s">
        <v>11911</v>
      </c>
      <c r="D15" s="251">
        <v>43768</v>
      </c>
      <c r="E15" s="229" t="s">
        <v>12804</v>
      </c>
      <c r="F15" s="229" t="s">
        <v>12805</v>
      </c>
      <c r="G15" s="28"/>
    </row>
    <row r="16" spans="1:7" ht="56.25">
      <c r="A16" s="350"/>
      <c r="B16" s="316">
        <v>2.1</v>
      </c>
      <c r="C16" s="317" t="s">
        <v>11911</v>
      </c>
      <c r="D16" s="318">
        <v>43964</v>
      </c>
      <c r="E16" s="319" t="s">
        <v>13794</v>
      </c>
      <c r="F16" s="319" t="s">
        <v>13795</v>
      </c>
      <c r="G16" s="28"/>
    </row>
    <row r="17" spans="1:7" ht="56.25">
      <c r="A17" s="350"/>
      <c r="B17" s="316">
        <v>2.11</v>
      </c>
      <c r="C17" s="317" t="s">
        <v>11911</v>
      </c>
      <c r="D17" s="318">
        <v>43970</v>
      </c>
      <c r="E17" s="319" t="s">
        <v>13874</v>
      </c>
      <c r="F17" s="319" t="s">
        <v>13795</v>
      </c>
      <c r="G17" s="28"/>
    </row>
    <row r="18" spans="1:7" ht="67.5">
      <c r="A18" s="350"/>
      <c r="B18" s="316">
        <v>2.2000000000000002</v>
      </c>
      <c r="C18" s="317" t="s">
        <v>11911</v>
      </c>
      <c r="D18" s="318">
        <v>44132</v>
      </c>
      <c r="E18" s="319" t="s">
        <v>13884</v>
      </c>
      <c r="F18" s="319" t="s">
        <v>13885</v>
      </c>
      <c r="G18" s="28"/>
    </row>
    <row r="19" spans="1:7" ht="13.5" thickBot="1">
      <c r="A19" s="351"/>
      <c r="B19" s="352" t="str">
        <f ca="1">OFFSET(L!$C$1,MATCH("General"&amp;"Cpy",L!$A:$A,0)-1,SL,,)</f>
        <v>© 2020 Responsible Minerals Initiative. All rights reserved.</v>
      </c>
      <c r="C19" s="352"/>
      <c r="D19" s="352"/>
      <c r="E19" s="352"/>
      <c r="F19" s="352"/>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6"/>
      <c r="B1" s="357"/>
      <c r="C1" s="357"/>
      <c r="D1" s="358"/>
    </row>
    <row r="2" spans="1:8" ht="15">
      <c r="A2" s="231"/>
      <c r="B2" s="232" t="str">
        <f ca="1">OFFSET(L!$C$1,MATCH("Definitions"&amp;ADDRESS(ROW(),COLUMN(),4),L!$A:$A,0)-1,SL,,)</f>
        <v>ITEM</v>
      </c>
      <c r="C2" s="232" t="str">
        <f ca="1">OFFSET(L!$C$1,MATCH("Definitions"&amp;ADDRESS(ROW(),COLUMN(),4),L!$A:$A,0)-1,SL,,)</f>
        <v>DEFINITION</v>
      </c>
      <c r="D2" s="360"/>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60"/>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60"/>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60"/>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60"/>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60"/>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60"/>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60"/>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60"/>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60"/>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60"/>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60"/>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60"/>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60"/>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60"/>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60"/>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60"/>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60"/>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60"/>
      <c r="E20" s="234"/>
    </row>
    <row r="21" spans="1:5" ht="15">
      <c r="A21" s="231"/>
      <c r="B21" s="359" t="str">
        <f ca="1">OFFSET(L!$C$1,MATCH("General"&amp;"Cpy",L!$A:$A,0)-1,SL,,)</f>
        <v>© 2020 Responsible Minerals Initiative. All rights reserved.</v>
      </c>
      <c r="C21" s="359"/>
      <c r="D21" s="360"/>
      <c r="E21" s="234"/>
    </row>
    <row r="22" spans="1:5" ht="13.5" thickBot="1">
      <c r="A22" s="235"/>
      <c r="B22" s="236"/>
      <c r="C22" s="236"/>
      <c r="D22" s="361"/>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zoomScale="70" zoomScaleNormal="70" workbookViewId="0">
      <selection sqref="A1:K1"/>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98"/>
      <c r="B1" s="399"/>
      <c r="C1" s="399"/>
      <c r="D1" s="399"/>
      <c r="E1" s="399"/>
      <c r="F1" s="399"/>
      <c r="G1" s="399"/>
      <c r="H1" s="399"/>
      <c r="I1" s="399"/>
      <c r="J1" s="399"/>
      <c r="K1" s="400"/>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401" t="str">
        <f ca="1">OFFSET(L!$C$1,MATCH("Declaration"&amp;ADDRESS(ROW(),COLUMN(),4),L!$A:$A,0)-1,SL,,)</f>
        <v>Cobalt Reporting Template (CRT)</v>
      </c>
      <c r="E2" s="402"/>
      <c r="F2" s="402"/>
      <c r="G2" s="402"/>
      <c r="H2" s="402"/>
      <c r="I2" s="402"/>
      <c r="J2" s="403"/>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418"/>
      <c r="F3" s="419"/>
      <c r="G3" s="419"/>
      <c r="H3" s="419"/>
      <c r="I3" s="419"/>
      <c r="J3" s="253" t="s">
        <v>13887</v>
      </c>
      <c r="K3" s="35"/>
      <c r="L3" s="120"/>
      <c r="M3" s="111"/>
      <c r="N3" s="111"/>
      <c r="O3" s="112"/>
      <c r="P3" s="125">
        <f>MATCH($D$3,LN,0)</f>
        <v>1</v>
      </c>
    </row>
    <row r="4" spans="1:34" ht="15.75">
      <c r="A4" s="33"/>
      <c r="B4" s="381" t="str">
        <f ca="1">OFFSET(L!$C$1,MATCH("Declaration"&amp;ADDRESS(ROW(),COLUMN(),4),L!$A:$A,0)-1,SL,,)</f>
        <v>The purpose of this document is to collect sourcing information on cobalt.</v>
      </c>
      <c r="C4" s="381"/>
      <c r="D4" s="381"/>
      <c r="E4" s="381"/>
      <c r="F4" s="381"/>
      <c r="G4" s="381"/>
      <c r="H4" s="381"/>
      <c r="I4" s="410" t="str">
        <f ca="1">OFFSET(L!$C$1,MATCH("Declaration"&amp;ADDRESS(ROW(),COLUMN(),4),L!$A:$A,0)-1,SL,,)</f>
        <v>Link to Terms &amp; Conditions</v>
      </c>
      <c r="J4" s="410"/>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411" t="str">
        <f ca="1">OFFSET(L!$C$1,MATCH("Declaration"&amp;ADDRESS(ROW(),COLUMN(),4),L!$A:$A,0)-1,SL,,)</f>
        <v>Company Information</v>
      </c>
      <c r="C7" s="411"/>
      <c r="D7" s="411"/>
      <c r="E7" s="411"/>
      <c r="F7" s="411"/>
      <c r="G7" s="411"/>
      <c r="H7" s="411"/>
      <c r="I7" s="411"/>
      <c r="J7" s="411"/>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404" t="s">
        <v>14060</v>
      </c>
      <c r="E8" s="405"/>
      <c r="F8" s="405"/>
      <c r="G8" s="405"/>
      <c r="H8" s="405"/>
      <c r="I8" s="405"/>
      <c r="J8" s="406"/>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87" t="s">
        <v>377</v>
      </c>
      <c r="E9" s="388"/>
      <c r="F9" s="388"/>
      <c r="G9" s="389"/>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12" t="str">
        <f ca="1">OFFSET(L!$C$1,MATCH("Declaration"&amp;ADDRESS(ROW(),COLUMN(),4)&amp;LEFT($D$9,1),L!$A:$A,0)-1,SL,,)</f>
        <v>Description of Scope:</v>
      </c>
      <c r="C10" s="132"/>
      <c r="D10" s="407" t="s">
        <v>14061</v>
      </c>
      <c r="E10" s="408"/>
      <c r="F10" s="408"/>
      <c r="G10" s="408"/>
      <c r="H10" s="408"/>
      <c r="I10" s="408"/>
      <c r="J10" s="409"/>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13"/>
      <c r="C11" s="132"/>
      <c r="D11" s="414" t="str">
        <f ca="1">IF(D9=Q9,OFFSET(L!$C$1,MATCH("Declaration"&amp;ADDRESS(ROW(),COLUMN(),4),L!$A:$A,0)-1,SL,,),"")</f>
        <v/>
      </c>
      <c r="E11" s="415"/>
      <c r="F11" s="415"/>
      <c r="G11" s="415"/>
      <c r="H11" s="415"/>
      <c r="I11" s="415"/>
      <c r="J11" s="416"/>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83" t="s">
        <v>14062</v>
      </c>
      <c r="E12" s="384"/>
      <c r="F12" s="384"/>
      <c r="G12" s="384"/>
      <c r="H12" s="384"/>
      <c r="I12" s="384"/>
      <c r="J12" s="385"/>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83" t="s">
        <v>14063</v>
      </c>
      <c r="E13" s="384"/>
      <c r="F13" s="384"/>
      <c r="G13" s="384"/>
      <c r="H13" s="384"/>
      <c r="I13" s="384"/>
      <c r="J13" s="385"/>
      <c r="K13" s="35"/>
      <c r="L13" s="122"/>
      <c r="M13" s="111"/>
      <c r="N13" s="111"/>
      <c r="O13" s="112"/>
      <c r="Q13" s="7"/>
      <c r="R13" s="7"/>
      <c r="S13" s="7"/>
      <c r="T13" s="7"/>
      <c r="U13" s="7"/>
      <c r="V13" s="7"/>
      <c r="W13" s="7"/>
      <c r="X13" s="7"/>
      <c r="Y13" s="7"/>
      <c r="Z13" s="7"/>
      <c r="AA13" s="7"/>
      <c r="AB13" s="7"/>
      <c r="AC13" s="7"/>
      <c r="AD13" s="7"/>
      <c r="AE13" s="7"/>
      <c r="AF13" s="7"/>
      <c r="AG13" s="7"/>
      <c r="AH13" s="7"/>
    </row>
    <row r="14" spans="1:34" ht="15.75" customHeight="1">
      <c r="A14" s="37"/>
      <c r="B14" s="39" t="str">
        <f ca="1">OFFSET(L!$C$1,MATCH("Declaration"&amp;ADDRESS(ROW(),COLUMN(),4),L!$A:$A,0)-1,SL,,)</f>
        <v>Address:</v>
      </c>
      <c r="C14" s="78"/>
      <c r="D14" s="434" t="s">
        <v>14064</v>
      </c>
      <c r="E14" s="435"/>
      <c r="F14" s="435"/>
      <c r="G14" s="435"/>
      <c r="H14" s="435"/>
      <c r="I14" s="435"/>
      <c r="J14" s="436"/>
      <c r="K14" s="35"/>
      <c r="L14" s="122"/>
      <c r="M14" s="111"/>
      <c r="N14" s="111"/>
      <c r="O14" s="112"/>
      <c r="Q14" s="7"/>
      <c r="R14" s="7"/>
      <c r="S14" s="7"/>
      <c r="T14" s="7"/>
      <c r="U14" s="7"/>
      <c r="V14" s="7"/>
      <c r="W14" s="7"/>
      <c r="X14" s="7"/>
      <c r="Y14" s="7"/>
      <c r="Z14" s="7"/>
      <c r="AA14" s="7"/>
      <c r="AB14" s="7"/>
      <c r="AC14" s="7"/>
      <c r="AD14" s="7"/>
      <c r="AE14" s="7"/>
      <c r="AF14" s="7"/>
      <c r="AG14" s="7"/>
      <c r="AH14" s="7"/>
    </row>
    <row r="15" spans="1:34" ht="15.75" customHeight="1">
      <c r="A15" s="37"/>
      <c r="B15" s="39" t="str">
        <f ca="1">OFFSET(L!$C$1,MATCH("Declaration"&amp;ADDRESS(ROW(),COLUMN(),4),L!$A:$A,0)-1,SL,,)</f>
        <v>Contact Name (*):</v>
      </c>
      <c r="C15" s="78"/>
      <c r="D15" s="437" t="s">
        <v>14065</v>
      </c>
      <c r="E15" s="438"/>
      <c r="F15" s="438"/>
      <c r="G15" s="438"/>
      <c r="H15" s="438"/>
      <c r="I15" s="438"/>
      <c r="J15" s="439"/>
      <c r="K15" s="35"/>
      <c r="L15" s="122"/>
      <c r="M15" s="111"/>
      <c r="N15" s="111"/>
      <c r="O15" s="112"/>
      <c r="Q15" s="7"/>
      <c r="R15" s="7"/>
      <c r="S15" s="7"/>
      <c r="T15" s="7"/>
      <c r="U15" s="7"/>
      <c r="V15" s="7"/>
      <c r="W15" s="7"/>
      <c r="X15" s="7"/>
      <c r="Y15" s="7"/>
      <c r="Z15" s="7"/>
      <c r="AA15" s="7"/>
      <c r="AB15" s="7"/>
      <c r="AC15" s="7"/>
      <c r="AD15" s="7"/>
      <c r="AE15" s="7"/>
      <c r="AF15" s="7"/>
      <c r="AG15" s="7"/>
      <c r="AH15" s="7"/>
    </row>
    <row r="16" spans="1:34" ht="15.75" customHeight="1">
      <c r="A16" s="37"/>
      <c r="B16" s="39" t="str">
        <f ca="1">OFFSET(L!$C$1,MATCH("Declaration"&amp;ADDRESS(ROW(),COLUMN(),4),L!$A:$A,0)-1,SL,,)</f>
        <v>Email – Contact (*):</v>
      </c>
      <c r="C16" s="78"/>
      <c r="D16" s="383" t="s">
        <v>14066</v>
      </c>
      <c r="E16" s="384"/>
      <c r="F16" s="384"/>
      <c r="G16" s="384"/>
      <c r="H16" s="384"/>
      <c r="I16" s="384"/>
      <c r="J16" s="385"/>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437" t="s">
        <v>14067</v>
      </c>
      <c r="E17" s="438"/>
      <c r="F17" s="438"/>
      <c r="G17" s="438"/>
      <c r="H17" s="438"/>
      <c r="I17" s="438"/>
      <c r="J17" s="439"/>
      <c r="K17" s="35"/>
      <c r="L17" s="122"/>
      <c r="M17" s="111"/>
      <c r="N17" s="111"/>
      <c r="O17" s="112"/>
      <c r="Q17" s="7"/>
      <c r="R17" s="7"/>
      <c r="S17" s="7"/>
      <c r="T17" s="7"/>
      <c r="U17" s="7"/>
      <c r="V17" s="7"/>
      <c r="W17" s="7"/>
      <c r="X17" s="7"/>
      <c r="Y17" s="7"/>
      <c r="Z17" s="7"/>
      <c r="AA17" s="7"/>
      <c r="AB17" s="7"/>
      <c r="AC17" s="7"/>
      <c r="AD17" s="7"/>
      <c r="AE17" s="7"/>
      <c r="AF17" s="7"/>
      <c r="AG17" s="7"/>
      <c r="AH17" s="7"/>
    </row>
    <row r="18" spans="1:34" ht="22.5" customHeight="1">
      <c r="A18" s="37"/>
      <c r="B18" s="39" t="str">
        <f ca="1">OFFSET(L!$C$1,MATCH("Declaration"&amp;ADDRESS(ROW(),COLUMN(),4),L!$A:$A,0)-1,SL,,)</f>
        <v>Authorizer (*):</v>
      </c>
      <c r="C18" s="78"/>
      <c r="D18" s="437" t="s">
        <v>14065</v>
      </c>
      <c r="E18" s="438"/>
      <c r="F18" s="438"/>
      <c r="G18" s="438"/>
      <c r="H18" s="438"/>
      <c r="I18" s="438"/>
      <c r="J18" s="439"/>
      <c r="K18" s="35"/>
      <c r="L18" s="116"/>
      <c r="M18" s="111"/>
      <c r="N18" s="111"/>
      <c r="O18" s="112"/>
      <c r="Q18" s="7"/>
      <c r="R18" s="7"/>
      <c r="S18" s="7"/>
      <c r="T18" s="7"/>
      <c r="U18" s="7"/>
      <c r="V18" s="7"/>
      <c r="W18" s="7"/>
      <c r="X18" s="7"/>
      <c r="Y18" s="7"/>
      <c r="Z18" s="7"/>
      <c r="AA18" s="7"/>
      <c r="AB18" s="7"/>
      <c r="AC18" s="7"/>
      <c r="AD18" s="7"/>
      <c r="AE18" s="7"/>
      <c r="AF18" s="7"/>
      <c r="AG18" s="7"/>
      <c r="AH18" s="7"/>
    </row>
    <row r="19" spans="1:34" ht="22.5" customHeight="1">
      <c r="A19" s="37"/>
      <c r="B19" s="39" t="str">
        <f ca="1">OFFSET(L!$C$1,MATCH("Declaration"&amp;ADDRESS(ROW(),COLUMN(),4),L!$A:$A,0)-1,SL,,)</f>
        <v>Title - Authorizer:</v>
      </c>
      <c r="C19" s="78"/>
      <c r="D19" s="437" t="s">
        <v>14068</v>
      </c>
      <c r="E19" s="438"/>
      <c r="F19" s="438"/>
      <c r="G19" s="438"/>
      <c r="H19" s="438"/>
      <c r="I19" s="438"/>
      <c r="J19" s="439"/>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383" t="s">
        <v>14066</v>
      </c>
      <c r="E20" s="384"/>
      <c r="F20" s="384"/>
      <c r="G20" s="384"/>
      <c r="H20" s="384"/>
      <c r="I20" s="384"/>
      <c r="J20" s="385"/>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440" t="s">
        <v>14067</v>
      </c>
      <c r="E21" s="441"/>
      <c r="F21" s="441"/>
      <c r="G21" s="441"/>
      <c r="H21" s="441"/>
      <c r="I21" s="441"/>
      <c r="J21" s="442"/>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90">
        <v>44606</v>
      </c>
      <c r="E22" s="391"/>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86"/>
      <c r="E23" s="386"/>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17" t="str">
        <f ca="1">OFFSET(L!$C$1,MATCH("Declaration"&amp;ADDRESS(ROW(),COLUMN(),4),L!$A:$A,0)-1,SL,,)</f>
        <v>Answer the following questions 1 - 6 based on the declaration scope indicated above</v>
      </c>
      <c r="C24" s="417"/>
      <c r="D24" s="417"/>
      <c r="E24" s="417"/>
      <c r="F24" s="417"/>
      <c r="G24" s="417"/>
      <c r="H24" s="417"/>
      <c r="I24" s="417"/>
      <c r="J24" s="417"/>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380" t="str">
        <f ca="1">OFFSET(L!$C$1,MATCH("Declaration"&amp;ADDRESS(ROW(),COLUMN(),4),L!$A:$A,0)-1,SL,,)</f>
        <v>Answer</v>
      </c>
      <c r="E25" s="380"/>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68" t="s">
        <v>371</v>
      </c>
      <c r="E26" s="369"/>
      <c r="F26" s="10"/>
      <c r="G26" s="364"/>
      <c r="H26" s="365"/>
      <c r="I26" s="365"/>
      <c r="J26" s="366"/>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70" t="s">
        <v>372</v>
      </c>
      <c r="E27" s="371"/>
      <c r="F27" s="10"/>
      <c r="G27" s="364"/>
      <c r="H27" s="365"/>
      <c r="I27" s="365"/>
      <c r="J27" s="366"/>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70" t="s">
        <v>372</v>
      </c>
      <c r="E28" s="371"/>
      <c r="F28" s="10"/>
      <c r="G28" s="364"/>
      <c r="H28" s="365"/>
      <c r="I28" s="365"/>
      <c r="J28" s="366"/>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70" t="s">
        <v>372</v>
      </c>
      <c r="E29" s="371"/>
      <c r="F29" s="10"/>
      <c r="G29" s="364"/>
      <c r="H29" s="365"/>
      <c r="I29" s="365"/>
      <c r="J29" s="366"/>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95" t="str">
        <f ca="1">D25</f>
        <v>Answer</v>
      </c>
      <c r="E31" s="395"/>
      <c r="F31" s="16"/>
      <c r="G31" s="43" t="str">
        <f ca="1">G25</f>
        <v>Comments</v>
      </c>
      <c r="H31" s="382"/>
      <c r="I31" s="382"/>
      <c r="J31" s="382"/>
      <c r="K31" s="35"/>
      <c r="L31" s="117" t="s">
        <v>692</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68" t="s">
        <v>372</v>
      </c>
      <c r="E32" s="369"/>
      <c r="F32" s="46"/>
      <c r="G32" s="364"/>
      <c r="H32" s="365"/>
      <c r="I32" s="365"/>
      <c r="J32" s="366"/>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70"/>
      <c r="E33" s="371"/>
      <c r="F33" s="46"/>
      <c r="G33" s="364"/>
      <c r="H33" s="365"/>
      <c r="I33" s="365"/>
      <c r="J33" s="366"/>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68"/>
      <c r="E34" s="369"/>
      <c r="F34" s="46"/>
      <c r="G34" s="364"/>
      <c r="H34" s="365"/>
      <c r="I34" s="365"/>
      <c r="J34" s="366"/>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68"/>
      <c r="E35" s="369"/>
      <c r="F35" s="46"/>
      <c r="G35" s="364"/>
      <c r="H35" s="365"/>
      <c r="I35" s="365"/>
      <c r="J35" s="366"/>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3) Does 100 percent of the cobalt originate from recycled or scrap sources? (*)</v>
      </c>
      <c r="C37" s="8"/>
      <c r="D37" s="395" t="str">
        <f ca="1">D25</f>
        <v>Answer</v>
      </c>
      <c r="E37" s="395"/>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68" t="s">
        <v>372</v>
      </c>
      <c r="E38" s="369"/>
      <c r="F38" s="46"/>
      <c r="G38" s="364"/>
      <c r="H38" s="365"/>
      <c r="I38" s="365"/>
      <c r="J38" s="366"/>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70"/>
      <c r="E39" s="371"/>
      <c r="F39" s="46"/>
      <c r="G39" s="364"/>
      <c r="H39" s="365"/>
      <c r="I39" s="365"/>
      <c r="J39" s="366"/>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70"/>
      <c r="E40" s="371"/>
      <c r="F40" s="46"/>
      <c r="G40" s="364"/>
      <c r="H40" s="365"/>
      <c r="I40" s="365"/>
      <c r="J40" s="366"/>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70"/>
      <c r="E41" s="371"/>
      <c r="F41" s="46"/>
      <c r="G41" s="364"/>
      <c r="H41" s="365"/>
      <c r="I41" s="365"/>
      <c r="J41" s="366"/>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95" t="str">
        <f ca="1">D25</f>
        <v>Answer</v>
      </c>
      <c r="E43" s="395"/>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20">
        <v>1</v>
      </c>
      <c r="E44" s="421"/>
      <c r="F44" s="46"/>
      <c r="G44" s="364"/>
      <c r="H44" s="365"/>
      <c r="I44" s="365"/>
      <c r="J44" s="366"/>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92"/>
      <c r="E45" s="393"/>
      <c r="F45" s="46"/>
      <c r="G45" s="364"/>
      <c r="H45" s="365"/>
      <c r="I45" s="365"/>
      <c r="J45" s="366"/>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92"/>
      <c r="E46" s="393"/>
      <c r="F46" s="46"/>
      <c r="G46" s="364"/>
      <c r="H46" s="365"/>
      <c r="I46" s="365"/>
      <c r="J46" s="366"/>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92"/>
      <c r="E47" s="393"/>
      <c r="F47" s="46"/>
      <c r="G47" s="364"/>
      <c r="H47" s="365"/>
      <c r="I47" s="365"/>
      <c r="J47" s="366"/>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395" t="str">
        <f ca="1">D25</f>
        <v>Answer</v>
      </c>
      <c r="E49" s="395"/>
      <c r="F49" s="16"/>
      <c r="G49" s="43" t="str">
        <f ca="1">G25</f>
        <v>Comments</v>
      </c>
      <c r="H49" s="394"/>
      <c r="I49" s="394"/>
      <c r="J49" s="394"/>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96" t="s">
        <v>371</v>
      </c>
      <c r="E50" s="397"/>
      <c r="F50" s="46"/>
      <c r="G50" s="364"/>
      <c r="H50" s="365"/>
      <c r="I50" s="365"/>
      <c r="J50" s="366"/>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70"/>
      <c r="E51" s="371"/>
      <c r="F51" s="46"/>
      <c r="G51" s="364"/>
      <c r="H51" s="365"/>
      <c r="I51" s="365"/>
      <c r="J51" s="366"/>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70"/>
      <c r="E52" s="371"/>
      <c r="F52" s="46"/>
      <c r="G52" s="364"/>
      <c r="H52" s="365"/>
      <c r="I52" s="365"/>
      <c r="J52" s="366"/>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70"/>
      <c r="E53" s="371"/>
      <c r="F53" s="46"/>
      <c r="G53" s="364"/>
      <c r="H53" s="365"/>
      <c r="I53" s="365"/>
      <c r="J53" s="366"/>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395" t="str">
        <f ca="1">D25</f>
        <v>Answer</v>
      </c>
      <c r="E55" s="395"/>
      <c r="F55" s="16"/>
      <c r="G55" s="43" t="str">
        <f ca="1">G25</f>
        <v>Comments</v>
      </c>
      <c r="H55" s="394" t="str">
        <f>IF(Q63="(*)","Click here to enter smelter names","")</f>
        <v/>
      </c>
      <c r="I55" s="394"/>
      <c r="J55" s="394"/>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68" t="s">
        <v>371</v>
      </c>
      <c r="E56" s="369"/>
      <c r="F56" s="47"/>
      <c r="G56" s="364"/>
      <c r="H56" s="365"/>
      <c r="I56" s="365"/>
      <c r="J56" s="366"/>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70"/>
      <c r="E57" s="371"/>
      <c r="F57" s="47"/>
      <c r="G57" s="364"/>
      <c r="H57" s="365"/>
      <c r="I57" s="365"/>
      <c r="J57" s="366"/>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70"/>
      <c r="E58" s="371"/>
      <c r="F58" s="47"/>
      <c r="G58" s="364"/>
      <c r="H58" s="365"/>
      <c r="I58" s="365"/>
      <c r="J58" s="366"/>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70"/>
      <c r="E59" s="371"/>
      <c r="F59" s="49"/>
      <c r="G59" s="364"/>
      <c r="H59" s="365"/>
      <c r="I59" s="365"/>
      <c r="J59" s="366"/>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72" t="str">
        <f ca="1">OFFSET(L!$C$1,MATCH("Declaration"&amp;ADDRESS(ROW(),COLUMN(),4),L!$A:$A,0)-1,SL,,)</f>
        <v>Answer the Following Questions at a Company Level</v>
      </c>
      <c r="C61" s="372"/>
      <c r="D61" s="372"/>
      <c r="E61" s="372"/>
      <c r="F61" s="372"/>
      <c r="G61" s="372"/>
      <c r="H61" s="372"/>
      <c r="I61" s="372"/>
      <c r="J61" s="372"/>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80" t="str">
        <f ca="1">D25</f>
        <v>Answer</v>
      </c>
      <c r="E62" s="380"/>
      <c r="F62" s="52"/>
      <c r="G62" s="380" t="str">
        <f ca="1">G25</f>
        <v>Comments</v>
      </c>
      <c r="H62" s="380" t="e">
        <f>HLOOKUP(SL,LT,$O62,0)</f>
        <v>#NAME?</v>
      </c>
      <c r="I62" s="380"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68" t="s">
        <v>372</v>
      </c>
      <c r="E63" s="369"/>
      <c r="F63" s="56"/>
      <c r="G63" s="364"/>
      <c r="H63" s="365"/>
      <c r="I63" s="365"/>
      <c r="J63" s="366"/>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75"/>
      <c r="H64" s="375"/>
      <c r="I64" s="375"/>
      <c r="J64" s="375"/>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68" t="s">
        <v>372</v>
      </c>
      <c r="E65" s="369"/>
      <c r="F65" s="56"/>
      <c r="G65" s="377"/>
      <c r="H65" s="378"/>
      <c r="I65" s="378"/>
      <c r="J65" s="379"/>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68" t="s">
        <v>372</v>
      </c>
      <c r="E67" s="369"/>
      <c r="F67" s="56"/>
      <c r="G67" s="364"/>
      <c r="H67" s="365"/>
      <c r="I67" s="365"/>
      <c r="J67" s="366"/>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D. Do you require suppliers to exercise due diligence over the cobalt supply chain in accordance with the OECD Due Diligence Guidance? (*)</v>
      </c>
      <c r="C69" s="56"/>
      <c r="D69" s="368" t="s">
        <v>372</v>
      </c>
      <c r="E69" s="369"/>
      <c r="F69" s="56"/>
      <c r="G69" s="364"/>
      <c r="H69" s="365"/>
      <c r="I69" s="365"/>
      <c r="J69" s="366"/>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68" t="s">
        <v>372</v>
      </c>
      <c r="E71" s="369"/>
      <c r="F71" s="56"/>
      <c r="G71" s="364"/>
      <c r="H71" s="365"/>
      <c r="I71" s="365"/>
      <c r="J71" s="366"/>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373" t="s">
        <v>372</v>
      </c>
      <c r="E73" s="374"/>
      <c r="F73" s="56"/>
      <c r="G73" s="364"/>
      <c r="H73" s="365"/>
      <c r="I73" s="365"/>
      <c r="J73" s="366"/>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375"/>
      <c r="H74" s="375"/>
      <c r="I74" s="375"/>
      <c r="J74" s="375"/>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G. Does your company conduct cobalt supply chain survey(s) of your relevant supplier(s)? (*)</v>
      </c>
      <c r="C75" s="56"/>
      <c r="D75" s="368" t="s">
        <v>372</v>
      </c>
      <c r="E75" s="369"/>
      <c r="F75" s="56"/>
      <c r="G75" s="364"/>
      <c r="H75" s="365"/>
      <c r="I75" s="365"/>
      <c r="J75" s="366"/>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376"/>
      <c r="H76" s="376"/>
      <c r="I76" s="376"/>
      <c r="J76" s="376"/>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68" t="s">
        <v>372</v>
      </c>
      <c r="E77" s="369"/>
      <c r="F77" s="56"/>
      <c r="G77" s="364"/>
      <c r="H77" s="365"/>
      <c r="I77" s="365"/>
      <c r="J77" s="366"/>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I. Does your review process include corrective action management? (*)</v>
      </c>
      <c r="C79" s="56"/>
      <c r="D79" s="368" t="s">
        <v>372</v>
      </c>
      <c r="E79" s="369"/>
      <c r="F79" s="56"/>
      <c r="G79" s="364"/>
      <c r="H79" s="365"/>
      <c r="I79" s="365"/>
      <c r="J79" s="366"/>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67" t="str">
        <f>IF(OR($D$8="",$I$3=""),"","Click here to check required fields completion")</f>
        <v/>
      </c>
      <c r="C80" s="367"/>
      <c r="D80" s="367"/>
      <c r="E80" s="367"/>
      <c r="F80" s="367"/>
      <c r="G80" s="367"/>
      <c r="H80" s="367"/>
      <c r="I80" s="367"/>
      <c r="J80" s="367"/>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62" t="str">
        <f ca="1">OFFSET(L!$C$1,MATCH("General"&amp;"Cpy",L!$A:$A,0)-1,SL,,)</f>
        <v>© 2020 Responsible Minerals Initiative. All rights reserved.</v>
      </c>
      <c r="B81" s="363"/>
      <c r="C81" s="363"/>
      <c r="D81" s="363"/>
      <c r="E81" s="363"/>
      <c r="F81" s="363"/>
      <c r="G81" s="363"/>
      <c r="H81" s="363"/>
      <c r="I81" s="363"/>
      <c r="J81" s="363"/>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100" priority="73" stopIfTrue="1">
      <formula>OR($D$26="No",$D$26="Unknown")</formula>
    </cfRule>
    <cfRule type="expression" dxfId="99" priority="74" stopIfTrue="1">
      <formula>IF(D63="",TRUE)</formula>
    </cfRule>
  </conditionalFormatting>
  <conditionalFormatting sqref="D26:E26">
    <cfRule type="expression" dxfId="98" priority="125" stopIfTrue="1">
      <formula>IF($D$26="",TRUE)</formula>
    </cfRule>
  </conditionalFormatting>
  <conditionalFormatting sqref="D27:E27">
    <cfRule type="expression" dxfId="97" priority="132" stopIfTrue="1">
      <formula>IF($D$27="",TRUE)</formula>
    </cfRule>
  </conditionalFormatting>
  <conditionalFormatting sqref="D9:G9">
    <cfRule type="expression" dxfId="96" priority="140" stopIfTrue="1">
      <formula>IF($D$9="",TRUE)</formula>
    </cfRule>
  </conditionalFormatting>
  <conditionalFormatting sqref="D22:E22">
    <cfRule type="expression" dxfId="95" priority="147" stopIfTrue="1">
      <formula>IF($D$22="",TRUE)</formula>
    </cfRule>
  </conditionalFormatting>
  <conditionalFormatting sqref="D34:E34 D40:E40 D46:E46 D52:E52 D58:E58">
    <cfRule type="expression" dxfId="94" priority="37" stopIfTrue="1">
      <formula>$P$28=""</formula>
    </cfRule>
  </conditionalFormatting>
  <conditionalFormatting sqref="D35:E35 D41:E41 D47:E47 D53:E53 D59:E59">
    <cfRule type="expression" dxfId="93" priority="152" stopIfTrue="1">
      <formula>$P$29=""</formula>
    </cfRule>
  </conditionalFormatting>
  <conditionalFormatting sqref="D34 D40 D46 D52 D58">
    <cfRule type="expression" dxfId="92" priority="150" stopIfTrue="1">
      <formula>IF(AND(OR($D$28="Yes",$D$28=""),D34=""),1,0)</formula>
    </cfRule>
  </conditionalFormatting>
  <conditionalFormatting sqref="D32:E32 D38:E38 D44:E44 D50:E50 D56:E56">
    <cfRule type="expression" dxfId="91" priority="41" stopIfTrue="1">
      <formula>IF(AND(OR($D$26="No",$D$26="Unknown"),D32=""),1,0)</formula>
    </cfRule>
    <cfRule type="expression" dxfId="90" priority="42" stopIfTrue="1">
      <formula>IF(AND(OR($D$26="Yes",$D$26=""),D32=""),1,0)</formula>
    </cfRule>
  </conditionalFormatting>
  <conditionalFormatting sqref="G73:J73">
    <cfRule type="expression" dxfId="89" priority="35" stopIfTrue="1">
      <formula>IF(AND($D$73="Yes, using other format (describe)",$G$73=""),TRUE)</formula>
    </cfRule>
  </conditionalFormatting>
  <conditionalFormatting sqref="D33:E33 D39:E39 D45:E45 D51:E51 D57:E57">
    <cfRule type="expression" dxfId="88" priority="148" stopIfTrue="1">
      <formula>$P$33=""</formula>
    </cfRule>
    <cfRule type="expression" dxfId="87" priority="149" stopIfTrue="1">
      <formula>IF(AND(OR($D$27="Yes",$D$27=""),D33=""),1,0)</formula>
    </cfRule>
  </conditionalFormatting>
  <conditionalFormatting sqref="D35:E35 D41:E41 D47:E47 D53:E53 D59:E59">
    <cfRule type="expression" dxfId="86" priority="153" stopIfTrue="1">
      <formula>IF(AND(OR($D$29="Yes",$D$29=""),D35=""),1,0)</formula>
    </cfRule>
  </conditionalFormatting>
  <conditionalFormatting sqref="D27 D33 D39 D45 D51 D57">
    <cfRule type="expression" dxfId="85" priority="22" stopIfTrue="1">
      <formula>IF($D$27="No",TRUE)</formula>
    </cfRule>
  </conditionalFormatting>
  <conditionalFormatting sqref="D28 D34 D40 D46 D52 D58">
    <cfRule type="expression" dxfId="84" priority="21">
      <formula>IF($D$28="No",TRUE)</formula>
    </cfRule>
  </conditionalFormatting>
  <conditionalFormatting sqref="D29 D35 D41 D47 D53 D59">
    <cfRule type="expression" dxfId="83" priority="20">
      <formula>IF($D$29="No",TRUE)</formula>
    </cfRule>
  </conditionalFormatting>
  <conditionalFormatting sqref="G63:J63">
    <cfRule type="expression" dxfId="82" priority="17">
      <formula>IF(AND($D$63="Yes",$G$63=""),TRUE)</formula>
    </cfRule>
  </conditionalFormatting>
  <conditionalFormatting sqref="G75:J75">
    <cfRule type="expression" dxfId="81" priority="16">
      <formula>IF(AND($D$75="Yes, using other format (describe)",$G$75=""),TRUE)</formula>
    </cfRule>
  </conditionalFormatting>
  <conditionalFormatting sqref="D8:J8">
    <cfRule type="expression" dxfId="80" priority="15" stopIfTrue="1">
      <formula>IF($D$8="",TRUE)</formula>
    </cfRule>
  </conditionalFormatting>
  <conditionalFormatting sqref="D10:J10">
    <cfRule type="expression" dxfId="79" priority="13" stopIfTrue="1">
      <formula>IF($D$9=$Q$9,TRUE)</formula>
    </cfRule>
    <cfRule type="expression" dxfId="78" priority="14" stopIfTrue="1">
      <formula>IF(AND($D$10="",$D$9=$R$9),TRUE)</formula>
    </cfRule>
  </conditionalFormatting>
  <conditionalFormatting sqref="D15:J15">
    <cfRule type="expression" dxfId="5" priority="4" stopIfTrue="1">
      <formula>IF($D$15="",TRUE)</formula>
    </cfRule>
  </conditionalFormatting>
  <conditionalFormatting sqref="D16:J16">
    <cfRule type="expression" dxfId="4" priority="5" stopIfTrue="1">
      <formula>IF($D$16="",TRUE)</formula>
    </cfRule>
  </conditionalFormatting>
  <conditionalFormatting sqref="D17:J17">
    <cfRule type="expression" dxfId="3" priority="6" stopIfTrue="1">
      <formula>IF($D$17="",TRUE)</formula>
    </cfRule>
  </conditionalFormatting>
  <conditionalFormatting sqref="D21:J21">
    <cfRule type="expression" dxfId="2" priority="3" stopIfTrue="1">
      <formula>IF($D$21="",TRUE)</formula>
    </cfRule>
  </conditionalFormatting>
  <conditionalFormatting sqref="D18:J18">
    <cfRule type="expression" dxfId="1" priority="2" stopIfTrue="1">
      <formula>IF($D$15="",TRUE)</formula>
    </cfRule>
  </conditionalFormatting>
  <conditionalFormatting sqref="D20:J20">
    <cfRule type="expression" dxfId="0" priority="1" stopIfTrue="1">
      <formula>IF($D$16="",TRUE)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D16" r:id="rId1" xr:uid="{D0B37239-AC90-494C-8B2E-48D36D1C8459}"/>
    <hyperlink ref="D20" r:id="rId2" xr:uid="{C12FA0C0-7A4D-4F56-9380-3E117D491620}"/>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zoomScaleNormal="100" workbookViewId="0">
      <selection activeCell="A5" sqref="A5"/>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2"/>
      <c r="K2" s="423"/>
      <c r="L2" s="423"/>
      <c r="M2" s="423"/>
      <c r="N2" s="423"/>
      <c r="O2" s="423"/>
      <c r="P2" s="209"/>
      <c r="Q2" s="210"/>
      <c r="R2" s="211"/>
      <c r="S2" s="211"/>
      <c r="T2" s="211"/>
      <c r="U2" s="165"/>
      <c r="V2" s="165"/>
      <c r="W2" s="166"/>
      <c r="X2" s="165"/>
      <c r="Y2" s="165"/>
      <c r="Z2" s="165"/>
      <c r="AH2" s="153" t="s">
        <v>371</v>
      </c>
    </row>
    <row r="3" spans="1:34" s="20" customFormat="1" ht="241.15" customHeight="1">
      <c r="A3" s="280"/>
      <c r="B3" s="424"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4"/>
      <c r="D3" s="424"/>
      <c r="E3" s="424"/>
      <c r="F3" s="212"/>
      <c r="G3" s="425" t="str">
        <f ca="1">OFFSET(L!$C$1,MATCH("General"&amp;"Cpy",L!$A:$A,0)-1,SL,,)</f>
        <v>© 2020 Responsible Minerals Initiative. All rights reserved.</v>
      </c>
      <c r="H3" s="425"/>
      <c r="I3" s="426"/>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349" t="s">
        <v>12002</v>
      </c>
      <c r="B5" s="191" t="str">
        <f ca="1">IF(LEN(A5)=0,"",INDEX('Smelter Look-up'!$A:$A,MATCH($A5,'Smelter Look-up'!$E:$E,0)))</f>
        <v>Cobalt</v>
      </c>
      <c r="C5" s="197" t="str">
        <f ca="1">IF(LEN(A5)=0,"",INDEX('Smelter Look-up'!$C:$C,MATCH($A5,'Smelter Look-up'!$E:$E,0)))</f>
        <v>Umicore Olen</v>
      </c>
      <c r="D5" s="191"/>
      <c r="E5" s="191" t="str">
        <f ca="1">IF(ISERROR($V5),"",OFFSET('Smelter Look-up'!$D$4,$V5-4,0)&amp;"")</f>
        <v>BELGIUM</v>
      </c>
      <c r="F5" s="349" t="s">
        <v>12002</v>
      </c>
      <c r="G5" s="191" t="str">
        <f ca="1">IF(C5=$X$4,"Enter smelter details",IF(ISERROR($V5),"",OFFSET('Smelter Look-up'!$F$4,$V5-4,0)))</f>
        <v>RMI</v>
      </c>
      <c r="H5" s="192">
        <f ca="1">IF(ISERROR($V5),"",OFFSET('Smelter Look-up'!$G$4,$V5-4,0))</f>
        <v>0</v>
      </c>
      <c r="I5" s="193" t="str">
        <f ca="1">IF(ISERROR($V5),"",OFFSET('Smelter Look-up'!$H$4,$V5-4,0))</f>
        <v>Olen</v>
      </c>
      <c r="J5" s="193" t="str">
        <f ca="1">IF(ISERROR($V5),"",OFFSET('Smelter Look-up'!$I$4,$V5-4,0))</f>
        <v>Antwerpen</v>
      </c>
      <c r="K5" s="195"/>
      <c r="L5" s="195"/>
      <c r="M5" s="195"/>
      <c r="N5" s="195"/>
      <c r="O5" s="195"/>
      <c r="P5" s="194"/>
      <c r="Q5" s="196"/>
      <c r="R5" s="191" t="str">
        <f ca="1">IF(ISERROR($V5),"",OFFSET('Smelter Look-up'!$C$4,$V5-4,0)&amp;"")</f>
        <v>Umicore Olen</v>
      </c>
      <c r="S5" s="200" t="str">
        <f t="shared" ref="S5:S64" ca="1" si="0">IF(B5="","",IF(ISERROR(MATCH($E5,CL,0)),"Unknown",INDIRECT("'C'!$A$"&amp;MATCH($E5,CL,0)+1)))</f>
        <v>BE</v>
      </c>
      <c r="T5" s="200" t="str">
        <f ca="1">IF(B5="","",IF(ISERROR(MATCH($J5,SorP!$B$1:$B$6230,0)),"",INDIRECT("'SorP'!$A$"&amp;MATCH($J5,SorP!$B$1:$B$6230,0))))</f>
        <v>BE-VAN</v>
      </c>
      <c r="U5" s="217"/>
      <c r="V5" s="218">
        <f ca="1">IF(C5="",NA(),MATCH($B5&amp;$C5,'Smelter Look-up'!$J:$J,0))</f>
        <v>85</v>
      </c>
      <c r="W5" s="219"/>
      <c r="X5" s="219">
        <f t="shared" ref="X5:X63" ca="1" si="1">IF(AND(C5="Smelter not listed",OR(LEN(D5)=0,LEN(E5)=0)),1,0)</f>
        <v>0</v>
      </c>
      <c r="Y5" s="219"/>
      <c r="Z5" s="219"/>
      <c r="AB5" s="220" t="str">
        <f t="shared" ref="AB5:AB63" ca="1" si="2">B5&amp;C5</f>
        <v>CobaltUmicore Olen</v>
      </c>
    </row>
    <row r="6" spans="1:34" s="220" customFormat="1" ht="20.25">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8">
    <cfRule type="expression" dxfId="71" priority="22" stopIfTrue="1">
      <formula>IF(B5="",TRUE)</formula>
    </cfRule>
  </conditionalFormatting>
  <conditionalFormatting sqref="D5:D2498">
    <cfRule type="expression" dxfId="70" priority="16" stopIfTrue="1">
      <formula>IF(AND(LEN($C5) &gt;0, ($C5 &lt;&gt; "Smelter Not Listed")),1,0)</formula>
    </cfRule>
    <cfRule type="expression" dxfId="69" priority="41" stopIfTrue="1">
      <formula>IF(AND(D5="",$C5=$X$4),TRUE)</formula>
    </cfRule>
    <cfRule type="expression" dxfId="68" priority="42" stopIfTrue="1">
      <formula>IF(FIND("!",D5),TRUE)</formula>
    </cfRule>
  </conditionalFormatting>
  <conditionalFormatting sqref="G5:G2498">
    <cfRule type="expression" dxfId="67" priority="43" stopIfTrue="1">
      <formula>IF(FIND("Enter smelter details",G5),TRUE)</formula>
    </cfRule>
  </conditionalFormatting>
  <conditionalFormatting sqref="R5:R2498 E5:E2498">
    <cfRule type="expression" dxfId="66" priority="29" stopIfTrue="1">
      <formula>IF(AND(E5="",$C5=$X$4),TRUE)</formula>
    </cfRule>
    <cfRule type="expression" dxfId="65" priority="30" stopIfTrue="1">
      <formula>IF(FIND("!",E5),TRUE)</formula>
    </cfRule>
  </conditionalFormatting>
  <conditionalFormatting sqref="F6:F2498">
    <cfRule type="expression" dxfId="64" priority="20" stopIfTrue="1">
      <formula>IF(AND(LEN($A6)&gt;0,$A6&lt;&gt;$F6),TRUE,FALSE)</formula>
    </cfRule>
  </conditionalFormatting>
  <conditionalFormatting sqref="C5:C2500">
    <cfRule type="expression" dxfId="63" priority="19" stopIfTrue="1">
      <formula>IF(AND(#REF!&lt;&gt;"",C5=""),TRUE)</formula>
    </cfRule>
  </conditionalFormatting>
  <conditionalFormatting sqref="A53">
    <cfRule type="expression" priority="12">
      <formula>$A$5:$Q1996&lt;&gt;""</formula>
    </cfRule>
  </conditionalFormatting>
  <conditionalFormatting sqref="B2499:B2500">
    <cfRule type="expression" dxfId="62" priority="6" stopIfTrue="1">
      <formula>IF(B2499="",TRUE)</formula>
    </cfRule>
  </conditionalFormatting>
  <conditionalFormatting sqref="D2499:D2500">
    <cfRule type="expression" dxfId="61" priority="3" stopIfTrue="1">
      <formula>IF(AND(LEN($C2499) &gt;0, ($C2499 &lt;&gt; "Smelter Not Listed")),1,0)</formula>
    </cfRule>
    <cfRule type="expression" dxfId="60" priority="9" stopIfTrue="1">
      <formula>IF(AND(D2499="",$C2499=$X$4),TRUE)</formula>
    </cfRule>
    <cfRule type="expression" dxfId="59" priority="10" stopIfTrue="1">
      <formula>IF(FIND("!",D2499),TRUE)</formula>
    </cfRule>
  </conditionalFormatting>
  <conditionalFormatting sqref="G2499:G2500">
    <cfRule type="expression" dxfId="58" priority="11" stopIfTrue="1">
      <formula>IF(FIND("Enter smelter details",G2499),TRUE)</formula>
    </cfRule>
  </conditionalFormatting>
  <conditionalFormatting sqref="R2499:R2500 E2499:E2500">
    <cfRule type="expression" dxfId="57" priority="7" stopIfTrue="1">
      <formula>IF(AND(E2499="",$C2499=$X$4),TRUE)</formula>
    </cfRule>
    <cfRule type="expression" dxfId="56" priority="8" stopIfTrue="1">
      <formula>IF(FIND("!",E2499),TRUE)</formula>
    </cfRule>
  </conditionalFormatting>
  <conditionalFormatting sqref="F2499:F2500">
    <cfRule type="expression" dxfId="55" priority="5" stopIfTrue="1">
      <formula>IF(AND(LEN($A2499)&gt;0,$A2499&lt;&gt;$F2499),TRUE,FALSE)</formula>
    </cfRule>
  </conditionalFormatting>
  <conditionalFormatting sqref="F5">
    <cfRule type="expression" dxfId="54" priority="2" stopIfTrue="1">
      <formula>IF(AND(LEN($A5)&gt;0,$A5&lt;&gt;$F5),TRUE,FALSE)</formula>
    </cfRule>
  </conditionalFormatting>
  <conditionalFormatting sqref="A5">
    <cfRule type="expression" dxfId="53" priority="1" stopIfTrue="1">
      <formula>IF(AND(LEN($A5)&gt;0,$A5&lt;&gt;$F5),TRUE,FALSE)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27" t="str">
        <f ca="1">OFFSET(L!$C$1,MATCH("Checker"&amp;ADDRESS(ROW(),COLUMN(),4),L!$A:$A,0)-1,SL,,)</f>
        <v>To ensure all required fields have been populated before submitting to your customers review form for any line items highlighted in red</v>
      </c>
      <c r="B1" s="427"/>
      <c r="C1" s="427"/>
      <c r="D1" s="127" t="str">
        <f ca="1">OFFSET(L!$C$1,MATCH("Checker"&amp;ADDRESS(ROW(),COLUMN(),4),L!$A:$A,0)-1,SL,,)</f>
        <v>Required fields remaining to be completed</v>
      </c>
      <c r="E1" s="74" t="s">
        <v>439</v>
      </c>
    </row>
    <row r="2" spans="1:10" ht="15">
      <c r="A2" s="67" t="s">
        <v>484</v>
      </c>
      <c r="B2" s="68" t="str">
        <f>IF(F57=1,"Click here to return to Smelter List","")</f>
        <v>Click here to return to Smelter List</v>
      </c>
      <c r="C2" s="131" t="str">
        <f>IF(F56=1,"Click here to return to Product List","")</f>
        <v/>
      </c>
      <c r="D2" s="158" t="str">
        <f ca="1">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International Resistive Company of Texas, LLC</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t="str">
        <f>Declaration!D10</f>
        <v>This document and the information within cover all products manufactured by International Resistive Company of Texas, LLC</v>
      </c>
      <c r="C6" s="90" t="str">
        <f t="shared" ca="1" si="0"/>
        <v>Complete</v>
      </c>
      <c r="D6" s="96" t="str">
        <f>IF(H6=1,"Click here to provide a Description of Scope","")</f>
        <v/>
      </c>
      <c r="E6" s="74" t="s">
        <v>744</v>
      </c>
      <c r="F6" s="95">
        <f>IF(OR(B5=Declaration!P9,B5=Declaration!Q9,B5=0),0,1)</f>
        <v>0</v>
      </c>
      <c r="G6" s="71">
        <f t="shared" si="1"/>
        <v>0</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Joe Alvirde</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joe.alvirde@ttelectronics.com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361-800-5042</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Joe Alvirde</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joe.alvirde@ttelectronics.com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361-800-5042</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44606</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Yes</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t="str">
        <f>Declaration!D32</f>
        <v>No</v>
      </c>
      <c r="C20" s="161" t="str">
        <f t="shared" ca="1" si="3"/>
        <v>Complete</v>
      </c>
      <c r="D20" s="96" t="str">
        <f>IF(H20=1,"Click here to answer question 2 for Cobalt","")</f>
        <v/>
      </c>
      <c r="E20" s="74" t="s">
        <v>440</v>
      </c>
      <c r="F20" s="95">
        <f>IF(OR(B$15="No",B$15="Unknown"),0,1)</f>
        <v>1</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744</v>
      </c>
      <c r="F24" s="94"/>
      <c r="G24" s="19"/>
      <c r="H24" s="19"/>
      <c r="J24" s="157"/>
    </row>
    <row r="25" spans="1:10" ht="39">
      <c r="A25" s="91" t="str">
        <f ca="1">Declaration!B38</f>
        <v>Cobalt(*)</v>
      </c>
      <c r="B25" s="90" t="str">
        <f>Declaration!D38</f>
        <v>No</v>
      </c>
      <c r="C25" s="161" t="str">
        <f ca="1">IF(H25=1,J25,I25)</f>
        <v>Complete</v>
      </c>
      <c r="D25" s="96" t="str">
        <f>IF(H25=1,"Click here to answer question 3 for Cobalt","")</f>
        <v/>
      </c>
      <c r="E25" s="74" t="s">
        <v>744</v>
      </c>
      <c r="F25" s="95">
        <f>F20</f>
        <v>1</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1</v>
      </c>
      <c r="C30" s="161" t="str">
        <f t="shared" ca="1" si="3"/>
        <v>Complete</v>
      </c>
      <c r="D30" s="98" t="str">
        <f>IF(H30=1,"Click here to answer question 4 for Cobalt","")</f>
        <v/>
      </c>
      <c r="E30" s="74" t="s">
        <v>439</v>
      </c>
      <c r="F30" s="95">
        <f>F20</f>
        <v>1</v>
      </c>
      <c r="G30" s="71">
        <f t="shared" si="5"/>
        <v>0</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441</v>
      </c>
      <c r="F34" s="94"/>
      <c r="G34" s="19"/>
      <c r="H34" s="19"/>
    </row>
    <row r="35" spans="1:10" ht="51.75">
      <c r="A35" s="91" t="str">
        <f ca="1">Declaration!B50</f>
        <v>Cobalt(*)</v>
      </c>
      <c r="B35" s="90" t="str">
        <f>Declaration!D50</f>
        <v>Yes</v>
      </c>
      <c r="C35" s="161" t="str">
        <f t="shared" ca="1" si="3"/>
        <v>Complete</v>
      </c>
      <c r="D35" s="98" t="str">
        <f>IF(H35=1,"Click here to answer question 5 for Cobalt","")</f>
        <v/>
      </c>
      <c r="E35" s="74" t="s">
        <v>743</v>
      </c>
      <c r="F35" s="95">
        <f>F20</f>
        <v>1</v>
      </c>
      <c r="G35" s="71">
        <f t="shared" si="5"/>
        <v>0</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442</v>
      </c>
      <c r="F39" s="94"/>
      <c r="G39" s="19"/>
      <c r="H39" s="19"/>
    </row>
    <row r="40" spans="1:10" ht="39">
      <c r="A40" s="91" t="str">
        <f ca="1">Declaration!B56</f>
        <v>Cobalt(*)</v>
      </c>
      <c r="B40" s="90" t="str">
        <f>Declaration!D56</f>
        <v>Yes</v>
      </c>
      <c r="C40" s="161" t="str">
        <f t="shared" ca="1" si="3"/>
        <v>Complete</v>
      </c>
      <c r="D40" s="98" t="str">
        <f>IF(H40=1,"Click here to answer question 6 for Cobalt","")</f>
        <v/>
      </c>
      <c r="E40" s="74" t="s">
        <v>440</v>
      </c>
      <c r="F40" s="95">
        <f>F20</f>
        <v>1</v>
      </c>
      <c r="G40" s="71">
        <f t="shared" si="5"/>
        <v>0</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No</v>
      </c>
      <c r="C45" s="161" t="str">
        <f t="shared" ca="1" si="3"/>
        <v>Complete</v>
      </c>
      <c r="D45" s="267" t="str">
        <f>IF(H45=1,"Click here to answer question (A)","")</f>
        <v/>
      </c>
      <c r="E45" s="74" t="s">
        <v>744</v>
      </c>
      <c r="F45" s="95">
        <f>IF(SUM(F$20:F$23)=0,0,1)</f>
        <v>1</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 (*)</v>
      </c>
      <c r="B47" s="90" t="str">
        <f>Declaration!D65</f>
        <v>No</v>
      </c>
      <c r="C47" s="161" t="str">
        <f ca="1">IF(H47=1,J47,I47)</f>
        <v>Complete</v>
      </c>
      <c r="D47" s="268" t="str">
        <f>IF(H47=1,"Click here to answer question (B)","")</f>
        <v/>
      </c>
      <c r="E47" s="74" t="s">
        <v>744</v>
      </c>
      <c r="F47" s="95">
        <f t="shared" ref="F47:F55" si="7">F$45</f>
        <v>1</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No</v>
      </c>
      <c r="C48" s="161" t="str">
        <f ca="1">IF(H48=1,J48,I48)</f>
        <v>Complete</v>
      </c>
      <c r="D48" s="268" t="str">
        <f>IF(H48=1,"Click here to answer question (C)","")</f>
        <v/>
      </c>
      <c r="E48" s="74" t="s">
        <v>744</v>
      </c>
      <c r="F48" s="95">
        <f t="shared" si="7"/>
        <v>1</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51">
      <c r="A49" s="90" t="str">
        <f ca="1">Declaration!B69</f>
        <v>D. Do you require suppliers to exercise due diligence over the cobalt supply chain in accordance with the OECD Due Diligence Guidance? (*)</v>
      </c>
      <c r="B49" s="90" t="str">
        <f>Declaration!D69</f>
        <v>No</v>
      </c>
      <c r="C49" s="346" t="str">
        <f t="shared" ca="1" si="3"/>
        <v>Complete</v>
      </c>
      <c r="D49" s="268" t="str">
        <f>IF(H49=1,"Click here to answer question (D)","")</f>
        <v/>
      </c>
      <c r="E49" s="74" t="s">
        <v>744</v>
      </c>
      <c r="F49" s="95">
        <f t="shared" si="7"/>
        <v>1</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No</v>
      </c>
      <c r="C50" s="161" t="str">
        <f ca="1">IF(H50=1,J50,I50)</f>
        <v>Complete</v>
      </c>
      <c r="D50" s="268" t="str">
        <f>IF(H50=1,"Click here to answer question (E)","")</f>
        <v/>
      </c>
      <c r="E50" s="74" t="s">
        <v>744</v>
      </c>
      <c r="F50" s="95">
        <f t="shared" si="7"/>
        <v>1</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No</v>
      </c>
      <c r="C51" s="346" t="str">
        <f t="shared" ca="1" si="3"/>
        <v>Complete</v>
      </c>
      <c r="D51" s="268" t="str">
        <f>IF(H51=1,"Click here to answer question (F)","")</f>
        <v/>
      </c>
      <c r="E51" s="74" t="s">
        <v>744</v>
      </c>
      <c r="F51" s="95">
        <f t="shared" si="7"/>
        <v>1</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No</v>
      </c>
      <c r="C53" s="161" t="str">
        <f t="shared" ca="1" si="3"/>
        <v>Complete</v>
      </c>
      <c r="D53" s="268" t="str">
        <f>IF(H53=1,"Click here to answer question (G)","")</f>
        <v/>
      </c>
      <c r="E53" s="74" t="s">
        <v>744</v>
      </c>
      <c r="F53" s="95">
        <f t="shared" si="7"/>
        <v>1</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No</v>
      </c>
      <c r="C54" s="346" t="str">
        <f t="shared" ca="1" si="3"/>
        <v>Complete</v>
      </c>
      <c r="D54" s="268" t="str">
        <f>IF(H54=1,"Click here to answer question (H)","")</f>
        <v/>
      </c>
      <c r="E54" s="74" t="s">
        <v>744</v>
      </c>
      <c r="F54" s="95">
        <f t="shared" si="7"/>
        <v>1</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No</v>
      </c>
      <c r="C55" s="346" t="str">
        <f ca="1">IF(H55=1,J55,I55)</f>
        <v>Complete</v>
      </c>
      <c r="D55" s="268" t="str">
        <f>IF(H55=1,"Click here to answer question (I)","")</f>
        <v/>
      </c>
      <c r="E55" s="74" t="s">
        <v>744</v>
      </c>
      <c r="F55" s="95">
        <f t="shared" si="7"/>
        <v>1</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 ca="1">IF(K57=1,L57,IF(B15="No","Not Required",IF(G57=0,I57,J57)))</f>
        <v>Complete</v>
      </c>
      <c r="D57" s="339" t="str">
        <f ca="1">IF(H57=0,"","Click here to provide smelter information")</f>
        <v/>
      </c>
      <c r="E57" s="74" t="s">
        <v>744</v>
      </c>
      <c r="F57" s="95">
        <f>F$45</f>
        <v>1</v>
      </c>
      <c r="G57" s="71">
        <f ca="1">IF(AND(COUNTIF(SmelterIdetifiedForMetal,"Cobalt")&gt;0,COUNTIF('Smelter List'!AB$5:AB$2500,"Cobalt?*")&gt;0),0,1)</f>
        <v>0</v>
      </c>
      <c r="H57" s="72">
        <f ca="1">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1</v>
      </c>
      <c r="G58" s="71">
        <f ca="1">IF(COUNTIF('Smelter List'!C5:C9,"")&lt;10,0,1)</f>
        <v>0</v>
      </c>
      <c r="H58" s="72" t="e">
        <f ca="1">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1</v>
      </c>
      <c r="G59" s="71">
        <f ca="1">IF(COUNTIF('Smelter List'!C5:C10,"")&lt;10,0,1)</f>
        <v>0</v>
      </c>
      <c r="H59" s="72" t="e">
        <f ca="1">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1</v>
      </c>
      <c r="G60" s="71">
        <f ca="1">IF(COUNTIF('Smelter List'!C5:C11,"")&lt;10,0,1)</f>
        <v>0</v>
      </c>
      <c r="H60" s="72" t="e">
        <f ca="1">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 ca="1">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52" priority="386" stopIfTrue="1">
      <formula>IF(F57=0,TRUE)</formula>
    </cfRule>
  </conditionalFormatting>
  <conditionalFormatting sqref="A5:A13">
    <cfRule type="expression" dxfId="51" priority="94" stopIfTrue="1">
      <formula>$F5=0</formula>
    </cfRule>
    <cfRule type="expression" dxfId="50" priority="95" stopIfTrue="1">
      <formula>AND($F5=1,$G5=0)</formula>
    </cfRule>
    <cfRule type="expression" dxfId="49" priority="96" stopIfTrue="1">
      <formula>AND($F5&lt;&gt;0,$G5&lt;&gt;0)</formula>
    </cfRule>
  </conditionalFormatting>
  <conditionalFormatting sqref="B56">
    <cfRule type="expression" dxfId="48" priority="92" stopIfTrue="1">
      <formula>$F56=0</formula>
    </cfRule>
  </conditionalFormatting>
  <conditionalFormatting sqref="D46">
    <cfRule type="expression" dxfId="47" priority="403" stopIfTrue="1">
      <formula>$H$46=0</formula>
    </cfRule>
  </conditionalFormatting>
  <conditionalFormatting sqref="B58">
    <cfRule type="expression" dxfId="46" priority="84" stopIfTrue="1">
      <formula>IF(F58=0,TRUE)</formula>
    </cfRule>
  </conditionalFormatting>
  <conditionalFormatting sqref="B59">
    <cfRule type="expression" dxfId="45" priority="80" stopIfTrue="1">
      <formula>IF(F59=0,TRUE)</formula>
    </cfRule>
  </conditionalFormatting>
  <conditionalFormatting sqref="B60:B61">
    <cfRule type="expression" dxfId="44" priority="76" stopIfTrue="1">
      <formula>IF(F60=0,TRUE)</formula>
    </cfRule>
  </conditionalFormatting>
  <conditionalFormatting sqref="A57:A61">
    <cfRule type="expression" dxfId="43" priority="59" stopIfTrue="1">
      <formula>C57="Not Required"</formula>
    </cfRule>
    <cfRule type="expression" dxfId="42"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41" priority="392" stopIfTrue="1">
      <formula>$F4=0</formula>
    </cfRule>
    <cfRule type="expression" dxfId="40" priority="393" stopIfTrue="1">
      <formula>$H4=0</formula>
    </cfRule>
    <cfRule type="expression" dxfId="39" priority="394" stopIfTrue="1">
      <formula>$H4=1</formula>
    </cfRule>
  </conditionalFormatting>
  <conditionalFormatting sqref="C61 A61">
    <cfRule type="expression" dxfId="38" priority="56" stopIfTrue="1">
      <formula>IF(AND($F$61=1,$G$61=1),TRUE,FALSE)</formula>
    </cfRule>
  </conditionalFormatting>
  <conditionalFormatting sqref="C20:C23">
    <cfRule type="expression" dxfId="37" priority="40" stopIfTrue="1">
      <formula>B15="No"</formula>
    </cfRule>
    <cfRule type="expression" dxfId="36" priority="41" stopIfTrue="1">
      <formula>OR(C20="Complete",C20="填写", C20="記入済",C20="완료",C20="Complétez",C20="Concluído",C20="Vollständig",C20="Completare",C20="Doldurun")</formula>
    </cfRule>
  </conditionalFormatting>
  <conditionalFormatting sqref="C40:C43">
    <cfRule type="expression" dxfId="35" priority="48" stopIfTrue="1">
      <formula>B15="No"</formula>
    </cfRule>
    <cfRule type="expression" dxfId="34" priority="49" stopIfTrue="1">
      <formula>OR(C40="Complete",C40="填写", C40="記入済",C40="완료",C40="Complétez",C40="Concluído",C40="Vollständig",C40="Completare",C40="Doldurun")</formula>
    </cfRule>
  </conditionalFormatting>
  <conditionalFormatting sqref="C35:C38">
    <cfRule type="expression" dxfId="33" priority="46" stopIfTrue="1">
      <formula>B15="No"</formula>
    </cfRule>
    <cfRule type="expression" dxfId="32" priority="47" stopIfTrue="1">
      <formula>OR(C35="Complete",C35="填写", C35="記入済",C35="완료",C35="Complétez",C35="Concluído",C35="Vollständig",C35="Completare",C35="Doldurun")</formula>
    </cfRule>
  </conditionalFormatting>
  <conditionalFormatting sqref="C30:C33">
    <cfRule type="expression" dxfId="31" priority="44" stopIfTrue="1">
      <formula>B15="No"</formula>
    </cfRule>
    <cfRule type="expression" dxfId="30" priority="45" stopIfTrue="1">
      <formula>OR(C30="Complete",C30="填写", C30="記入済",C30="완료",C30="Complétez",C30="Concluído",C30="Vollständig",C30="Completare",C30="Doldurun")</formula>
    </cfRule>
  </conditionalFormatting>
  <conditionalFormatting sqref="C25:C28">
    <cfRule type="expression" dxfId="29" priority="42" stopIfTrue="1">
      <formula>B15="No"</formula>
    </cfRule>
    <cfRule type="expression" dxfId="28" priority="43" stopIfTrue="1">
      <formula>OR(C25="Complete",C25="填写", C25="記入済",C25="완료",C25="Complétez",C25="Concluído",C25="Vollständig",C25="Completare",C25="Doldurun")</formula>
    </cfRule>
  </conditionalFormatting>
  <conditionalFormatting sqref="A58">
    <cfRule type="expression" dxfId="27" priority="38">
      <formula>IF(A58,"")=TRUE</formula>
    </cfRule>
  </conditionalFormatting>
  <conditionalFormatting sqref="C57">
    <cfRule type="expression" dxfId="26" priority="31" stopIfTrue="1">
      <formula>C57="Not Required"</formula>
    </cfRule>
    <cfRule type="expression" dxfId="25" priority="32" stopIfTrue="1">
      <formula>OR(C57="Complete",C57="填写", C57="記入済",C57="완료",C57="Complétez",C57="Concluído",C57="Vollständig",C57="Completare",C57="Doldurun")</formula>
    </cfRule>
  </conditionalFormatting>
  <conditionalFormatting sqref="C49">
    <cfRule type="expression" dxfId="24" priority="21" stopIfTrue="1">
      <formula>B15="No"</formula>
    </cfRule>
    <cfRule type="expression" dxfId="23" priority="22" stopIfTrue="1">
      <formula>OR(C49="Complete",C49="填写", C49="記入済",C49="완료",C49="Complétez",C49="Concluído",C49="Vollständig",C49="Completare",C49="Doldurun")</formula>
    </cfRule>
  </conditionalFormatting>
  <conditionalFormatting sqref="C51">
    <cfRule type="expression" dxfId="22" priority="19" stopIfTrue="1">
      <formula>B15="No"</formula>
    </cfRule>
    <cfRule type="expression" dxfId="21" priority="20" stopIfTrue="1">
      <formula>OR(C51="Complete",C51="填写", C51="記入済",C51="완료",C51="Complétez",C51="Concluído",C51="Vollständig",C51="Completare",C51="Doldurun")</formula>
    </cfRule>
  </conditionalFormatting>
  <conditionalFormatting sqref="C53">
    <cfRule type="expression" dxfId="20"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9" priority="52" stopIfTrue="1">
      <formula>OR(C48="Complete",C48="填写", C48="記入済",C48="완료",C48="Complétez",C48="Concluído",C48="Vollständig",C48="Completare",C48="Doldurun")</formula>
    </cfRule>
    <cfRule type="expression" dxfId="18" priority="16" stopIfTrue="1">
      <formula>B15="No"</formula>
    </cfRule>
  </conditionalFormatting>
  <conditionalFormatting sqref="C45">
    <cfRule type="expression" dxfId="17" priority="2" stopIfTrue="1">
      <formula>B15="No"</formula>
    </cfRule>
    <cfRule type="expression" dxfId="16" priority="15" stopIfTrue="1">
      <formula>OR(C45="Complete",C45="填写", C45="記入済",C45="완료",C45="Complétez",C45="Concluído",C45="Vollständig",C45="Completare",C45="Doldurun")</formula>
    </cfRule>
  </conditionalFormatting>
  <conditionalFormatting sqref="C47">
    <cfRule type="expression" dxfId="15" priority="13" stopIfTrue="1">
      <formula>B15="No"</formula>
    </cfRule>
    <cfRule type="expression" dxfId="14" priority="66" stopIfTrue="1">
      <formula>OR(C47="Complete",C47="填写", C47="記入済",C47="완료",C47="Complétez",C47="Concluído",C47="Vollständig",C47="Completare",C47="Doldurun")</formula>
    </cfRule>
  </conditionalFormatting>
  <conditionalFormatting sqref="C50">
    <cfRule type="expression" dxfId="13" priority="10" stopIfTrue="1">
      <formula>B15="No"</formula>
    </cfRule>
    <cfRule type="expression" dxfId="12" priority="11" stopIfTrue="1">
      <formula>OR(C50="Complete",C50="填写", C50="記入済",C50="완료",C50="Complétez",C50="Concluído",C50="Vollständig",C50="Completare",C50="Doldurun")</formula>
    </cfRule>
  </conditionalFormatting>
  <conditionalFormatting sqref="C54">
    <cfRule type="expression" dxfId="11" priority="7" stopIfTrue="1">
      <formula>B15="No"</formula>
    </cfRule>
    <cfRule type="expression" dxfId="10" priority="8" stopIfTrue="1">
      <formula>OR(C54="Complete",C54="填写", C54="記入済",C54="완료",C54="Complétez",C54="Concluído",C54="Vollständig",C54="Completare",C54="Doldurun")</formula>
    </cfRule>
  </conditionalFormatting>
  <conditionalFormatting sqref="C55">
    <cfRule type="expression" dxfId="9" priority="5" stopIfTrue="1">
      <formula>B15="No"</formula>
    </cfRule>
    <cfRule type="expression" dxfId="8"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29" t="str">
        <f ca="1">OFFSET(L!$C$1,MATCH("Product List"&amp;ADDRESS(ROW(),COLUMN(),4),L!$A:$A,0)-1,SL,,)</f>
        <v>Completion required only if reporting level "Product (or List of Products)" selected on the 'Declaration' worksheet.</v>
      </c>
      <c r="B1" s="430"/>
      <c r="C1" s="430"/>
      <c r="D1" s="430"/>
      <c r="E1" s="126"/>
    </row>
    <row r="2" spans="1:35">
      <c r="A2" s="23"/>
      <c r="B2" s="128"/>
      <c r="C2" s="128"/>
      <c r="D2"/>
      <c r="E2" s="24"/>
    </row>
    <row r="3" spans="1:35">
      <c r="A3" s="23"/>
      <c r="B3" s="128"/>
      <c r="C3" s="128"/>
      <c r="D3" s="128"/>
      <c r="E3" s="24"/>
    </row>
    <row r="4" spans="1:35" ht="15.75" customHeight="1">
      <c r="A4" s="23"/>
      <c r="B4" s="428" t="s">
        <v>484</v>
      </c>
      <c r="C4" s="428"/>
      <c r="D4" s="428"/>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1" t="str">
        <f ca="1">OFFSET(L!$C$1,MATCH("General"&amp;"Cpy",L!$A:$A,0)-1,SL,,)</f>
        <v>© 2020 Responsible Minerals Initiative. All rights reserved.</v>
      </c>
      <c r="C1001" s="431"/>
      <c r="D1001" s="431"/>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3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2"/>
      <c r="C1" s="432"/>
      <c r="D1" s="432"/>
      <c r="E1" s="432"/>
      <c r="F1" s="432"/>
      <c r="G1" s="432"/>
    </row>
    <row r="2" spans="1:13">
      <c r="A2" s="433"/>
      <c r="B2" s="433"/>
      <c r="C2" s="433"/>
      <c r="D2" s="433"/>
      <c r="E2" s="433"/>
      <c r="F2" s="433"/>
      <c r="G2" s="433"/>
      <c r="H2" s="433"/>
      <c r="I2" s="433"/>
    </row>
    <row r="3" spans="1:13">
      <c r="A3" s="433"/>
      <c r="B3" s="433"/>
      <c r="C3" s="433"/>
      <c r="D3" s="433"/>
      <c r="E3" s="433"/>
      <c r="F3" s="433"/>
      <c r="G3" s="433"/>
      <c r="H3" s="433"/>
      <c r="I3" s="433"/>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6"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ht="28.5">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56.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213.7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35">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71.25">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42.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28">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99.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42.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409.5">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213.7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28.25">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71.25">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28.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ht="28.5">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99.7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ht="28.5">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infopath/2007/PartnerControls"/>
    <ds:schemaRef ds:uri="http://purl.org/dc/elements/1.1/"/>
    <ds:schemaRef ds:uri="http://schemas.microsoft.com/office/2006/metadata/properties"/>
    <ds:schemaRef ds:uri="http://schemas.microsoft.com/office/2006/documentManagement/types"/>
    <ds:schemaRef ds:uri="a54701f6-876b-4337-a24e-543e1bd311e6"/>
    <ds:schemaRef ds:uri="http://purl.org/dc/terms/"/>
    <ds:schemaRef ds:uri="http://schemas.openxmlformats.org/package/2006/metadata/core-properties"/>
    <ds:schemaRef ds:uri="http://purl.org/dc/dcmitype/"/>
    <ds:schemaRef ds:uri="98893d5f-232f-4f98-b444-edffba233996"/>
    <ds:schemaRef ds:uri="http://www.w3.org/XML/1998/namespace"/>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Stephen Oxley</cp:lastModifiedBy>
  <cp:lastPrinted>2015-04-21T20:47:43Z</cp:lastPrinted>
  <dcterms:created xsi:type="dcterms:W3CDTF">2010-06-21T21:00:23Z</dcterms:created>
  <dcterms:modified xsi:type="dcterms:W3CDTF">2022-02-14T12:31:34Z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